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01"/>
  <workbookPr defaultThemeVersion="166925"/>
  <mc:AlternateContent xmlns:mc="http://schemas.openxmlformats.org/markup-compatibility/2006">
    <mc:Choice Requires="x15">
      <x15ac:absPath xmlns:x15ac="http://schemas.microsoft.com/office/spreadsheetml/2010/11/ac" url="C:\Users\MARLYS URIBE\Downloads\"/>
    </mc:Choice>
  </mc:AlternateContent>
  <xr:revisionPtr revIDLastSave="232" documentId="13_ncr:1_{C2B3D265-1BF1-4C78-BD81-F44AD2C2D47B}" xr6:coauthVersionLast="47" xr6:coauthVersionMax="47" xr10:uidLastSave="{4212FA57-D0C4-4708-9E79-6F5D92A0E08B}"/>
  <bookViews>
    <workbookView xWindow="-120" yWindow="-120" windowWidth="20730" windowHeight="11040" xr2:uid="{00000000-000D-0000-FFFF-FFFF00000000}"/>
  </bookViews>
  <sheets>
    <sheet name="Riesgos Gestión STMEO" sheetId="3" r:id="rId1"/>
    <sheet name="Datos" sheetId="5" state="hidden" r:id="rId2"/>
    <sheet name="Instructivo" sheetId="4" r:id="rId3"/>
  </sheets>
  <definedNames>
    <definedName name="_xlnm._FilterDatabase" localSheetId="0" hidden="1">'Riesgos Gestión STMEO'!$A$16:$BD$16</definedName>
    <definedName name="_xlnm.Print_Area" localSheetId="0">'Riesgos Gestión STMEO'!$A$1:$AK$19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6" i="3" l="1"/>
  <c r="V46" i="3"/>
  <c r="V36" i="3"/>
  <c r="S36" i="3"/>
  <c r="V35" i="3"/>
  <c r="S35" i="3"/>
  <c r="V31" i="3" l="1"/>
  <c r="S31" i="3"/>
  <c r="S17" i="3"/>
  <c r="H43" i="3"/>
  <c r="S28" i="3"/>
  <c r="V19" i="3"/>
  <c r="S19" i="3"/>
  <c r="V18" i="3"/>
  <c r="S18" i="3"/>
  <c r="V27" i="3"/>
  <c r="S27" i="3"/>
  <c r="V26" i="3"/>
  <c r="S26" i="3"/>
  <c r="V25" i="3"/>
  <c r="S25" i="3"/>
  <c r="V44" i="3"/>
  <c r="S44" i="3"/>
  <c r="V37" i="3" l="1"/>
  <c r="S37" i="3"/>
  <c r="V34" i="3"/>
  <c r="S34" i="3"/>
  <c r="V33" i="3"/>
  <c r="S33" i="3"/>
  <c r="V32" i="3"/>
  <c r="S32" i="3"/>
  <c r="V30" i="3"/>
  <c r="S30" i="3"/>
  <c r="V17" i="3"/>
  <c r="V40" i="3" l="1"/>
  <c r="S40" i="3"/>
  <c r="V42" i="3"/>
  <c r="S42" i="3"/>
  <c r="V45" i="3" l="1"/>
  <c r="S45" i="3"/>
  <c r="V43" i="3"/>
  <c r="S43" i="3"/>
  <c r="K43" i="3"/>
  <c r="L43" i="3" s="1"/>
  <c r="M43" i="3" s="1"/>
  <c r="AD46" i="3" l="1"/>
  <c r="AC46" i="3" s="1"/>
  <c r="N43" i="3"/>
  <c r="O43" i="3" s="1"/>
  <c r="I43" i="3"/>
  <c r="Z43" i="3" s="1"/>
  <c r="AD43" i="3"/>
  <c r="AC43" i="3" s="1"/>
  <c r="AD44" i="3" l="1"/>
  <c r="AD45" i="3"/>
  <c r="AC45" i="3" s="1"/>
  <c r="AB43" i="3"/>
  <c r="Z44" i="3" s="1"/>
  <c r="AA43" i="3"/>
  <c r="AE43" i="3" s="1"/>
  <c r="AF43" i="3" s="1"/>
  <c r="AB44" i="3" l="1"/>
  <c r="Z45" i="3" s="1"/>
  <c r="AB45" i="3" s="1"/>
  <c r="Z46" i="3" s="1"/>
  <c r="AA44" i="3"/>
  <c r="AB46" i="3" l="1"/>
  <c r="AA46" i="3"/>
  <c r="AE46" i="3" s="1"/>
  <c r="AF46" i="3" s="1"/>
  <c r="AA45" i="3"/>
  <c r="AE45" i="3" s="1"/>
  <c r="AF45" i="3" s="1"/>
  <c r="S41" i="3" l="1"/>
  <c r="V41" i="3"/>
  <c r="S39" i="3"/>
  <c r="V39" i="3"/>
  <c r="S24" i="3" l="1"/>
  <c r="V23" i="3"/>
  <c r="S23" i="3"/>
  <c r="V22" i="3"/>
  <c r="S22" i="3"/>
  <c r="V21" i="3"/>
  <c r="S21" i="3"/>
  <c r="V38" i="3" l="1"/>
  <c r="S38" i="3"/>
  <c r="K38" i="3"/>
  <c r="L38" i="3" s="1"/>
  <c r="M38" i="3" s="1"/>
  <c r="AD41" i="3" s="1"/>
  <c r="H38" i="3"/>
  <c r="V29" i="3"/>
  <c r="S29" i="3"/>
  <c r="V28" i="3"/>
  <c r="K28" i="3"/>
  <c r="H28" i="3"/>
  <c r="K25" i="3"/>
  <c r="L25" i="3" s="1"/>
  <c r="H25" i="3"/>
  <c r="I25" i="3" s="1"/>
  <c r="AC41" i="3" l="1"/>
  <c r="AD42" i="3"/>
  <c r="AD38" i="3"/>
  <c r="AC38" i="3" s="1"/>
  <c r="L28" i="3"/>
  <c r="M28" i="3" s="1"/>
  <c r="AD35" i="3" s="1"/>
  <c r="N25" i="3"/>
  <c r="O25" i="3" s="1"/>
  <c r="Z25" i="3"/>
  <c r="AB25" i="3" s="1"/>
  <c r="Z26" i="3" s="1"/>
  <c r="N38" i="3"/>
  <c r="O38" i="3" s="1"/>
  <c r="I38" i="3"/>
  <c r="I28" i="3"/>
  <c r="M25" i="3"/>
  <c r="AD26" i="3" s="1"/>
  <c r="V24" i="3"/>
  <c r="V20" i="3"/>
  <c r="S20" i="3"/>
  <c r="K20" i="3"/>
  <c r="H20" i="3"/>
  <c r="AC35" i="3" l="1"/>
  <c r="AD36" i="3"/>
  <c r="AD27" i="3"/>
  <c r="AC27" i="3" s="1"/>
  <c r="AC26" i="3"/>
  <c r="AB26" i="3"/>
  <c r="Z27" i="3" s="1"/>
  <c r="AA26" i="3"/>
  <c r="AD25" i="3"/>
  <c r="AC25" i="3" s="1"/>
  <c r="AC42" i="3"/>
  <c r="AC44" i="3"/>
  <c r="AE44" i="3" s="1"/>
  <c r="AF44" i="3" s="1"/>
  <c r="Z28" i="3"/>
  <c r="AB28" i="3" s="1"/>
  <c r="Z29" i="3" s="1"/>
  <c r="Z38" i="3"/>
  <c r="AA38" i="3" s="1"/>
  <c r="AE38" i="3" s="1"/>
  <c r="AF38" i="3" s="1"/>
  <c r="AD28" i="3"/>
  <c r="AC28" i="3" s="1"/>
  <c r="AD39" i="3"/>
  <c r="AD40" i="3" s="1"/>
  <c r="AC40" i="3" s="1"/>
  <c r="N28" i="3"/>
  <c r="O28" i="3" s="1"/>
  <c r="AA25" i="3"/>
  <c r="L20" i="3"/>
  <c r="M20" i="3" s="1"/>
  <c r="I20" i="3"/>
  <c r="Z20" i="3" s="1"/>
  <c r="AB20" i="3" s="1"/>
  <c r="Z21" i="3" s="1"/>
  <c r="AC36" i="3" l="1"/>
  <c r="AD37" i="3"/>
  <c r="AE26" i="3"/>
  <c r="AF26" i="3" s="1"/>
  <c r="AE25" i="3"/>
  <c r="AF25" i="3" s="1"/>
  <c r="AB27" i="3"/>
  <c r="AA27" i="3"/>
  <c r="AE27" i="3" s="1"/>
  <c r="AF27" i="3" s="1"/>
  <c r="AA28" i="3"/>
  <c r="AE28" i="3" s="1"/>
  <c r="AF28" i="3" s="1"/>
  <c r="AC39" i="3"/>
  <c r="AB38" i="3"/>
  <c r="Z39" i="3" s="1"/>
  <c r="AB39" i="3" s="1"/>
  <c r="Z40" i="3" s="1"/>
  <c r="AD29" i="3"/>
  <c r="AB29" i="3"/>
  <c r="Z30" i="3" s="1"/>
  <c r="AA29" i="3"/>
  <c r="AD20" i="3"/>
  <c r="AD21" i="3" s="1"/>
  <c r="AD23" i="3"/>
  <c r="N20" i="3"/>
  <c r="O20" i="3" s="1"/>
  <c r="AA20" i="3"/>
  <c r="AC29" i="3" l="1"/>
  <c r="AE29" i="3" s="1"/>
  <c r="AF29" i="3" s="1"/>
  <c r="AD31" i="3"/>
  <c r="AC31" i="3" s="1"/>
  <c r="AB40" i="3"/>
  <c r="Z41" i="3" s="1"/>
  <c r="AA40" i="3"/>
  <c r="AE40" i="3" s="1"/>
  <c r="AF40" i="3" s="1"/>
  <c r="AD30" i="3"/>
  <c r="AC30" i="3" s="1"/>
  <c r="AA39" i="3"/>
  <c r="AE39" i="3" s="1"/>
  <c r="AF39" i="3" s="1"/>
  <c r="AA30" i="3"/>
  <c r="AB30" i="3"/>
  <c r="Z31" i="3" s="1"/>
  <c r="AC20" i="3"/>
  <c r="AE20" i="3" s="1"/>
  <c r="AF20" i="3" s="1"/>
  <c r="AC23" i="3"/>
  <c r="AD24" i="3"/>
  <c r="AC24" i="3" s="1"/>
  <c r="AB21" i="3"/>
  <c r="Z22" i="3" s="1"/>
  <c r="AA21" i="3"/>
  <c r="AC21" i="3"/>
  <c r="AD22" i="3"/>
  <c r="AC22" i="3" s="1"/>
  <c r="AB31" i="3" l="1"/>
  <c r="Z32" i="3" s="1"/>
  <c r="AB32" i="3" s="1"/>
  <c r="Z33" i="3" s="1"/>
  <c r="AA31" i="3"/>
  <c r="AE31" i="3" s="1"/>
  <c r="AF31" i="3" s="1"/>
  <c r="AD32" i="3"/>
  <c r="AC32" i="3" s="1"/>
  <c r="AB41" i="3"/>
  <c r="Z42" i="3" s="1"/>
  <c r="AA41" i="3"/>
  <c r="AE41" i="3" s="1"/>
  <c r="AF41" i="3" s="1"/>
  <c r="AE30" i="3"/>
  <c r="AF30" i="3" s="1"/>
  <c r="AE21" i="3"/>
  <c r="AF21" i="3" s="1"/>
  <c r="AA22" i="3"/>
  <c r="AE22" i="3" s="1"/>
  <c r="AF22" i="3" s="1"/>
  <c r="AB22" i="3"/>
  <c r="Z23" i="3" s="1"/>
  <c r="AA32" i="3" l="1"/>
  <c r="AD33" i="3"/>
  <c r="AC33" i="3" s="1"/>
  <c r="AB42" i="3"/>
  <c r="AA42" i="3"/>
  <c r="AE42" i="3" s="1"/>
  <c r="AF42" i="3" s="1"/>
  <c r="AE32" i="3"/>
  <c r="AF32" i="3" s="1"/>
  <c r="AA33" i="3"/>
  <c r="AB33" i="3"/>
  <c r="Z34" i="3" s="1"/>
  <c r="AB23" i="3"/>
  <c r="Z24" i="3" s="1"/>
  <c r="AA23" i="3"/>
  <c r="AE23" i="3" s="1"/>
  <c r="AF23" i="3" s="1"/>
  <c r="K17" i="3"/>
  <c r="L17" i="3" s="1"/>
  <c r="AD34" i="3" l="1"/>
  <c r="AC34" i="3" s="1"/>
  <c r="AE33" i="3"/>
  <c r="AF33" i="3" s="1"/>
  <c r="AA34" i="3"/>
  <c r="AB34" i="3"/>
  <c r="Z36" i="3" s="1"/>
  <c r="AA24" i="3"/>
  <c r="AE24" i="3" s="1"/>
  <c r="AF24" i="3" s="1"/>
  <c r="AB24" i="3"/>
  <c r="M17" i="3"/>
  <c r="AD17" i="3" s="1"/>
  <c r="H17" i="3"/>
  <c r="AB36" i="3" l="1"/>
  <c r="Z37" i="3" s="1"/>
  <c r="AA37" i="3" s="1"/>
  <c r="AA36" i="3"/>
  <c r="AE36" i="3" s="1"/>
  <c r="AF36" i="3" s="1"/>
  <c r="Z35" i="3"/>
  <c r="AC17" i="3"/>
  <c r="AD18" i="3"/>
  <c r="AC18" i="3" s="1"/>
  <c r="AC37" i="3"/>
  <c r="AE34" i="3"/>
  <c r="AF34" i="3" s="1"/>
  <c r="AB37" i="3"/>
  <c r="I17" i="3"/>
  <c r="Z17" i="3" s="1"/>
  <c r="N17" i="3"/>
  <c r="O17" i="3" s="1"/>
  <c r="AB35" i="3" l="1"/>
  <c r="AA35" i="3"/>
  <c r="AE35" i="3" s="1"/>
  <c r="AF35" i="3" s="1"/>
  <c r="AA17" i="3"/>
  <c r="AE17" i="3" s="1"/>
  <c r="AF17" i="3" s="1"/>
  <c r="AB17" i="3"/>
  <c r="Z18" i="3" s="1"/>
  <c r="AE37" i="3"/>
  <c r="AF37" i="3" s="1"/>
  <c r="AA18" i="3" l="1"/>
  <c r="AE18" i="3" s="1"/>
  <c r="AF18" i="3" s="1"/>
  <c r="AB18" i="3"/>
  <c r="AD19" i="3"/>
  <c r="Z19" i="3" l="1"/>
  <c r="AB19" i="3" s="1"/>
  <c r="AC19" i="3"/>
  <c r="AA19" i="3" l="1"/>
  <c r="AE19" i="3" s="1"/>
  <c r="AF19"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tc={36D0065D-BCE3-4F88-9449-61E222CB6F79}</author>
    <author>tc={E05D81E0-3308-4222-B763-B77345008846}</author>
    <author>tc={FAA3FE27-2A9B-4BD3-AD3D-9792A125D54C}</author>
  </authors>
  <commentList>
    <comment ref="G17" authorId="0" shapeId="0" xr:uid="{00000000-0006-0000-0000-000001000000}">
      <text>
        <t xml:space="preserve">[Threaded comment]
Your version of Excel allows you to read this threaded comment; however, any edits to it will get removed if the file is opened in a newer version of Excel. Learn more: https://go.microsoft.com/fwlink/?linkid=870924
Comment:
    Se toma como base los 365 que corresponde a los días del año en que la entidad podría incumplir las expectativas de los NNAJ.
</t>
      </text>
    </comment>
    <comment ref="G20" authorId="1" shapeId="0" xr:uid="{00000000-0006-0000-0000-000002000000}">
      <text>
        <t>[Threaded comment]
Your version of Excel allows you to read this threaded comment; however, any edits to it will get removed if the file is opened in a newer version of Excel. Learn more: https://go.microsoft.com/fwlink/?linkid=870924
Comment:
    Numero de egresos 2021</t>
      </text>
    </comment>
    <comment ref="G43" authorId="2" shapeId="0" xr:uid="{00000000-0006-0000-0000-000003000000}">
      <text>
        <t>[Threaded comment]
Your version of Excel allows you to read this threaded comment; however, any edits to it will get removed if the file is opened in a newer version of Excel. Learn more: https://go.microsoft.com/fwlink/?linkid=870924
Comment:
    Numero de unidades
Reply:
    Se toma como dato el numero de unidades activas 13 para 2024</t>
      </text>
    </comment>
  </commentList>
</comments>
</file>

<file path=xl/sharedStrings.xml><?xml version="1.0" encoding="utf-8"?>
<sst xmlns="http://schemas.openxmlformats.org/spreadsheetml/2006/main" count="481" uniqueCount="289">
  <si>
    <t>MODELO PEDAGÓGICO</t>
  </si>
  <si>
    <t>CÓDIGO</t>
  </si>
  <si>
    <t>E-DES-FT-015</t>
  </si>
  <si>
    <t>VERSIÓN</t>
  </si>
  <si>
    <t>10</t>
  </si>
  <si>
    <t>MAPA DE RIESGOS DE GESTIÓN</t>
  </si>
  <si>
    <t>PÁGINA</t>
  </si>
  <si>
    <t>1 DE 1</t>
  </si>
  <si>
    <t>VIGENTE DESDE</t>
  </si>
  <si>
    <t>Proceso</t>
  </si>
  <si>
    <t>Objetivo del Proceso</t>
  </si>
  <si>
    <t>Formar ciudadanos creativos e innovadores con oportunidades, desde un Modelo Pedagógico basado en los principios de afecto, alegría y libertad y un talento institucional que apropia la vocación de servicio y liderazgo para construir proyecto y sentido de vida en los niños, niñas, adolescentes y jóvenes en habitabilidad en calle, en riesgo de habitarla o en condiciones de fragilidad social de la Ciudad.</t>
  </si>
  <si>
    <t>Alcance</t>
  </si>
  <si>
    <t>El proceso comienza con la etapa de planeación y finaliza con la etapa de inclusión social y productiva de los NNAJ desde el Modelo Pedagógico.</t>
  </si>
  <si>
    <t>IDENTIFICACIÓN DEL RIESGO</t>
  </si>
  <si>
    <t>VALORACIÓN DEL RIESGO</t>
  </si>
  <si>
    <t>GESTIÓN DEL RIESGO</t>
  </si>
  <si>
    <t xml:space="preserve">MONITOREO </t>
  </si>
  <si>
    <t>SEGUIMIENTO Y EVALUACIÓN</t>
  </si>
  <si>
    <t>Atributos</t>
  </si>
  <si>
    <t>No. De Riesgo</t>
  </si>
  <si>
    <t>Impacto</t>
  </si>
  <si>
    <t>Causa Inmediata</t>
  </si>
  <si>
    <t>Causa Raíz</t>
  </si>
  <si>
    <t>Descripción del Riesgo</t>
  </si>
  <si>
    <t>Clasificación Riesgo</t>
  </si>
  <si>
    <t>Frecuencia con la que se realiza la actividad</t>
  </si>
  <si>
    <t>Probabilidad 
Inherente</t>
  </si>
  <si>
    <t>%</t>
  </si>
  <si>
    <t>Criterios de Impacto</t>
  </si>
  <si>
    <t>Observación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</si>
  <si>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</si>
  <si>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</si>
  <si>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</si>
  <si>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</si>
  <si>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</si>
  <si>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</si>
  <si>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</si>
  <si>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</si>
  <si>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</si>
  <si>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</si>
  <si>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</si>
  <si>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</si>
  <si>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</si>
  <si>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</si>
  <si>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</si>
  <si>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</si>
  <si>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</si>
  <si>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</si>
  <si>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</si>
  <si>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</si>
  <si>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</si>
  <si>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</si>
  <si>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Fortalecimiento Del Riesgo</t>
  </si>
  <si>
    <t>Reporte De Las Acciones Desarrolladas En Caso De Que Se Haya Materializado El Riesgo</t>
  </si>
  <si>
    <t>Observaciones Del Monitoreo</t>
  </si>
  <si>
    <t xml:space="preserve">OBSERVACIONES OFICINA ASESORA DE PLANEACIÓN </t>
  </si>
  <si>
    <t>OBSERVACIONES OFICINA DE CONTROL INTERNO</t>
  </si>
  <si>
    <t>Reputacional</t>
  </si>
  <si>
    <t>demandas, quejas o inconformidades de los NNAJ y/o sus familias en contra de la entidad</t>
  </si>
  <si>
    <t xml:space="preserve">
Incumplimiento de las Expectativas de los NNAJ frente la oferta de servicios del modelo pedagógico</t>
  </si>
  <si>
    <t>Posibilidad de afectación reputacional por demandas, quejas o inconformidades de los NNAJ y/o sus familias en contra de la entidad, por el Incumplimiento de las expectativas de los NNAJ frente la oferta de servicios del modelo pedagógico.</t>
  </si>
  <si>
    <t>El riesgo afecta la imagen de la entidad con algunos usuarios de relevancia frente al logro de los objetivos.</t>
  </si>
  <si>
    <t xml:space="preserve">Psicosocial: El equipo de apoyo del Componente de Derecho  Sicosocial revisa cada 2 meses las acciones  realizadas a los NNAJ por los equipos psicosociales, mediante la estrategia Como Vamos Sicosocial en  UPI, verificando aleatoriamente que las intervenciones realizadas, den respuesta al plan de atención individual y familiar de los NNAJ y sus familias, el resultado de las verificaciones se relaciona y registra en el formato Acta A-GDO-FT-004 y Registro de asistencia a reunión y/o capacitación A-GDH-FT-010. En el evento en que se detecten casos de NNAJ sin intervenciones o intervenciones que no den respuesta a los objetivos del plan de atención individual y familiar se informa a los equipos psicosociales  para que se prioricen estas atenciones y se dé cumplimiento a su plan. </t>
  </si>
  <si>
    <t>Detectivo</t>
  </si>
  <si>
    <t>Manual</t>
  </si>
  <si>
    <t>Se encuentra documentado en el Manual de procesos y procedimientos del Componente de Derecho psicosocial</t>
  </si>
  <si>
    <t>Cada 2 meses</t>
  </si>
  <si>
    <t>Acta A-GDO-FT-004 y Registro de asistencia a reunión y/o capacitación A-GDH-FT-010</t>
  </si>
  <si>
    <t>REDUCIR EL RIESGO</t>
  </si>
  <si>
    <t xml:space="preserve">
Realizar mesa de trabajo con el equipo de respuestas de pqrs de los procesos misionales y revisar la posibilidad de crear un protocolo de atención a las mismas que sea presentado a los subdirectores  </t>
  </si>
  <si>
    <t>Equipo de herramientas trasversales</t>
  </si>
  <si>
    <t>01/05/2024 al 30/11/2024</t>
  </si>
  <si>
    <t>En el periodo, como acción de control, se realiza acompañamiento y seguimiento a los equipos sicosociales de las UPI mediante la estrategia “Cómo vamos sicosocial en UPI”. En esta estrategia, se revisan, acompañan y monitorean los indicadores de gestión relacionados con el componente. Entre estos indicadores, destaca el de intervención, donde se verifica que las acciones realizadas respondan al plan de atención individual y familiar de los NNAJ formulado. Además, se establece un plan de trabajo para abordar las acciones pendientes.
Esta acción es liderada por la profesional delegada y articuladora del componente sicosocial. Se realiza de manera bimensual, con una planificación previa en la que participan tanto profesionales de apoyo del componente como los equipos sicosociales y apoyos profesionales de UPI.
Por otro lado, desde el componente también se llevan a cabo acciones de fortalecimiento, como procesos de inducción y reinducción. Estos procesos pueden ser individuales, cuando ingresa un nuevo profesional al equipo, o grupales, realizados una vez cada semestre.</t>
  </si>
  <si>
    <t>N/A</t>
  </si>
  <si>
    <t>En el periodo, no se materializó el riesgo</t>
  </si>
  <si>
    <t>El monitoreo debe ser realizado por talento humano que tenga experiencia y conocimiento de los procesos desarrollados por el componente sicosocial, a fin de brindar un seguimiento más riguroso de las acciones realizadas desde los equipos sicosociales de cada UPI, lo que permitirá prevenir la materialización del riesgo.</t>
  </si>
  <si>
    <r>
      <rPr>
        <b/>
        <sz val="11"/>
        <color rgb="FF000000"/>
        <rFont val="Times New Roman"/>
      </rPr>
      <t xml:space="preserve">Control 1:
</t>
    </r>
    <r>
      <rPr>
        <sz val="11"/>
        <color rgb="FF000000"/>
        <rFont val="Times New Roman"/>
      </rPr>
      <t xml:space="preserve">Se identifica la adecuacda aplicación del control,  a la estrategia: COMO VAMOS PSICOSOCIAL, mediante las actas de reunión y listas de asistencia
</t>
    </r>
    <r>
      <rPr>
        <b/>
        <sz val="11"/>
        <color rgb="FF000000"/>
        <rFont val="Times New Roman"/>
      </rPr>
      <t xml:space="preserve">Control 2:
</t>
    </r>
    <r>
      <rPr>
        <sz val="11"/>
        <color rgb="FF000000"/>
        <rFont val="Times New Roman"/>
      </rPr>
      <t xml:space="preserve"> Se verifica la aplicación del control con la  verificación mensual a través del formato "Planeación y seguimiento mensual de actividades con NNAJ en las Unidades de Protección Integral” M-PSS-FT-104.
</t>
    </r>
    <r>
      <rPr>
        <b/>
        <sz val="11"/>
        <color rgb="FF000000"/>
        <rFont val="Times New Roman"/>
      </rPr>
      <t xml:space="preserve">Control 3:
</t>
    </r>
    <r>
      <rPr>
        <sz val="11"/>
        <color rgb="FF000000"/>
        <rFont val="Times New Roman"/>
      </rPr>
      <t xml:space="preserve">Se observa la aplicación del control, mediante las bases de datos de respuesta a PQRDS y la gestión propia de la misma dentro de cada una de las subdirecciones.
Acción de fortalecimiento: NO se relaciona por parte del proceso actividades asociadas a la acción de fortalecimiento
No se materializa el riesgo.
</t>
    </r>
  </si>
  <si>
    <t xml:space="preserve">Control 1:
Se evidencio la ejecución de la actividad del control, con las actas de reunión y listas de asistencia de la estrategia COMO VAMOS PSICOSOCIAL
Control 2:
Se evidencio la ejecución de la actividad del control con la  verificación mensual a través del formato "Planeación y seguimiento mensual de actividades con NNAJ en las Unidades de Protección Integral” M-PSS-FT-104.
Control 3:
Se evidencio la ejecución de la actividad del control, con el tablero control de respuesta a PQRDS y la gestión en cada una de las subdirecciones.
Acción de fortalecimiento: No se aporto evidencia que de cuenta de ejecicón de la accion de fortalecimiento.
No se materializa el riesgo.
Recomendación: En cuanto a la acción de fortalecimiento, se sugiere implementar mecanismos que garanticen su ejecución y documentación, asegurando que las mejoras en el proceso sean visibles y medibles.
</t>
  </si>
  <si>
    <r>
      <rPr>
        <b/>
        <sz val="12"/>
        <color rgb="FF000000"/>
        <rFont val="Times New Roman"/>
      </rPr>
      <t>Internado</t>
    </r>
    <r>
      <rPr>
        <sz val="12"/>
        <color rgb="FF000000"/>
        <rFont val="Times New Roman"/>
      </rPr>
      <t>: El responsable de unidad realiza verificación mensual con base al formato "Planeación y seguimiento mensual de actividades con NNAJ en las Unidades de Protección Integral” M-PSS-FT-104 reportado por las áreas de servicio, de la planeación y ejecución de las actividades  verificando que estén orientadas al cumplimiento de la misionalidad y los objetivos del  modelo pedagógico. Si las actividades están orientadas al cumplimiento de la misionalidad y el modelo pedagógico, el responsable de unidad firma el formato aprobándolas, de lo contrario devuelve al área para su ajuste.</t>
    </r>
  </si>
  <si>
    <t>Preventivo</t>
  </si>
  <si>
    <t>M-DAL-MA-009-Manual Operativo Modalidad De Atención Internado Para NNAJ Con Alta Vulnerabilidad Social Y Económica y/o Vulneración De Derechos</t>
  </si>
  <si>
    <t>Mensualmente</t>
  </si>
  <si>
    <t>formato "Planeación y seguimiento mensual de actividades con NNAJ en las Unidades de Protección Integral”M-PSS-FT-104</t>
  </si>
  <si>
    <t>Las unidades de protección integral de modalidad Internado (Bosa Internado, Florida, Oasis, La 27 y San Francisco) ,diligenciaron de manera mensual el formato M-PSS-FT-104 planeación y seguimiento mensual de actividades, dicho formato es diligenciado por los diferentes componentes de derecho y áreas que realizan actividades dentro de la Unidad, se realiza el diligenciamiento de las actividades proyectadas antes de iniciar mes y al finalizar se diligencias las ejecutadas de acuerdo a la planeación. Cabe destacar que, se cargaron las acciones de las 5 unidades correspondientes a los meses de enero a abril 2025, sin embargo, durante el mes de enero se evidencia una ejecución menor en el desarrollo de la actividad, sobre todo en la UPI Bosa, donde solo se ejecutó la planeación los componentes de Psicosocial, Convivencia y el equipo administrativo. Y en la unidad de Florida, solo reporto el Componente de Psicosocial.
Lo anterior se debe a que el mes de enero el 80% de los contratistas finalizaron contrato y la baja en el desarrollo de actividades fue significativa.</t>
  </si>
  <si>
    <t xml:space="preserve">Subdirecciones Misionales: Cada vez que se reciba una petición, queja o reclamo (PQR) relacionada con el  incumplimiento de las expectativas  de los NNAJ o sus familias frente al modelo pedagógico, el profesional encargado de las PQRS de la Subdirección  informa al (la) Subdirector (a) correspondiente para que se inicie el seguimiento a la situación presentada.
Paralelamente, solicita información a la UPI o Gerencia correspondiente con el fin de dar respuesta de fondo desde la Subdirección respectiva
Finalmente las respuestas son emitidas a través del aplicativo Bogotá te escucha o con radicado a través del Cordis y envía copia al profesional encargado de UPI o Gerencia correspondiente   para que realice seguimiento a los compromisos generados </t>
  </si>
  <si>
    <t>Correctivo</t>
  </si>
  <si>
    <t>Se encuentra documentado en el procedimiento PERMANENCIA EN ACTIVIDADES DE CORRESPONSABILIDAD MODALIDAD ESTÍMULO M-DAL-PR-012</t>
  </si>
  <si>
    <t>semanal</t>
  </si>
  <si>
    <t>Respuesta a la PQRS</t>
  </si>
  <si>
    <t xml:space="preserve">Subdirección de Oportunidades: para el cuatrimestre se recibieron 7 requerimientos  en cuanto a las expectivas de cumplimiento del Modelo Pedagogico, a las cuales se les dio respuesta dentro de los tiempos estipulados para tal fin.
Subdirección Técnica Poblacional 
Durante marzo de 2025 se recibieron 2 PQR por este riesgo, y en abril se presentaron 6 más. La temática más frecuente estuvo relacionada con la inconformidad en la calidad y variedad de los alimentos ofrecidos en la UPI Bosa. Estas solicitudes fueron trasladadas oportunamente al área de Nutrición y Seguridad Alimentaria, donde se coordinó una revisión de los ciclos de menú y minutas con el objetivo de proponer ajustes que mantuvieran el cumplimiento normativo y mejoraran la percepción de los beneficiarios. Las respuestas fueron gestionadas formalmente y quedaron registradas en los sistemas institucionales.
Conclusión y evaluación general:
El control fue ejecutado conforme a los lineamientos institucionales y permitió realizar un abordaje articulado con el área técnica responsable. La trazabilidad de las respuestas, la inclusión de los beneficiarios en el análisis de soluciones y la disposición a mejorar los procesos demuestran que el control ha sido efectivo para mitigar el riesgo. Se evaluó como adecuado y pertinente, con impacto positivo en la gestión institucional.
Subdirección Técnica de Lineamientos y Políticas
En la vigencia del primer cuatrimestre del año 2025 se gestionaron dos (2) requerimientos, el primero con número de radicado 2025ER1080 Queja proveniente de los Alumnos de UPI Perdomo, donde el Componente de Educación se comprometió a realizar una mesa de trabajo para escuchar a las partes en conflicto.
El segundo con numero de radicado 2025ER1081 Queja de personas que solicitaron Visita Psicosocial para el ingreso de un menor a los programas del IDIPRON, pero manifiestan que fueron abordados por el equipo, con palabras agresivas y amenazadoras; el Componente Psicosocial manifiesta que el ofuscado era el menor y que se le dio ingreso en la modalidad de internado en la UPI San Francisco.
</t>
  </si>
  <si>
    <t xml:space="preserve">
SUBDIRECCIÓN POBLACIONAL
Durante los meses de enero y febrero 2025, no se  recibieron peticiones, queja o reclamo (PQR) relacionadas con el  incumplimiento de las expectativas  de los NNAJ o sus familias frente al modelo pedagógico.</t>
  </si>
  <si>
    <t xml:space="preserve">quejas o escándalos mediáticos </t>
  </si>
  <si>
    <t>exposición a vulneración de derechos sin que se tomen medidas inmediatas a las necesidades de los NNAJ por ausencia y/o demoras en el seguimiento al egreso de los NNAJ.</t>
  </si>
  <si>
    <t xml:space="preserve">Posibilidad de afectación reputacional por quejas o escándalos mediáticos a la entidad, debido a la  vulneración de derechos sin que se tomen medidas inmediatas a las necesidades de los NNAJ por ausencia y/o demoras en el seguimiento al egreso de los NNAJ. </t>
  </si>
  <si>
    <t>El riesgo afecta la imagen de la entidad con efecto publicitario sostenido a nivel de sector administrativo o distrital</t>
  </si>
  <si>
    <r>
      <rPr>
        <b/>
        <strike/>
        <sz val="12"/>
        <color rgb="FF000000"/>
        <rFont val="Times New Roman"/>
        <family val="1"/>
      </rPr>
      <t>Sociolegal</t>
    </r>
    <r>
      <rPr>
        <strike/>
        <sz val="12"/>
        <color rgb="FF000000"/>
        <rFont val="Times New Roman"/>
        <family val="1"/>
      </rPr>
      <t>: Los funcionarios y/o Contratistas de  la línea de trabajo de seguimiento al egreso del área Sociolegal todos los días verifica el comprobador de derechos (Secretaría Distrital de Salud y/o ADRES), SIMAT y antecedentes institucionales del ICBF, realiza contacto telefónico para saber el estado del NNAJ con el fin de determinar el estado de derechos y realiza las actividades necesarias para el cierre del caso. Dicha información es registrada en SIMI /Módulo Socio legal/Acta de Egreso/Ver Seguimientos/Presentación a Comité. Adicionalmente, esta información se registra en formato Control de Atenciones, Acciones y/o Seguimientos M-PSS-FT-078</t>
    </r>
  </si>
  <si>
    <t>Documentado en el Documento Interno llamado  Seguimiento a la Inasistencia Temporal y/o al Egreso del NNAJM-DAL-DI-061</t>
  </si>
  <si>
    <t>Diariamente</t>
  </si>
  <si>
    <t>SIMI - Control de Atenciones, Acciones y/o Seguimientos M-PSS-FT-078</t>
  </si>
  <si>
    <t>RIESGO SUSPENDIDO</t>
  </si>
  <si>
    <r>
      <rPr>
        <b/>
        <strike/>
        <sz val="12"/>
        <color rgb="FF000000"/>
        <rFont val="Times New Roman"/>
        <family val="1"/>
      </rPr>
      <t>Sociolegal</t>
    </r>
    <r>
      <rPr>
        <strike/>
        <sz val="12"/>
        <color rgb="FF000000"/>
        <rFont val="Times New Roman"/>
        <family val="1"/>
      </rPr>
      <t>: El delegado de la línea de trabajo de seguimiento al egreso del área Sociolegal, semanalmente revisa de forma aleatoria la información registrada por parte de los  funcionarios y/o Contratistas verificando que se encuentre registrada adecuadamente en el SIMI conforme a lo diligenciado en el formato Control de Atenciones, Acciones y/o Seguimientos M-PSS-FT-078 dejando evidencia en el formato de Acta de reunión A-GDO-FT-004</t>
    </r>
  </si>
  <si>
    <t>No se deja evidencia</t>
  </si>
  <si>
    <r>
      <rPr>
        <b/>
        <strike/>
        <sz val="12"/>
        <color rgb="FF000000"/>
        <rFont val="Times New Roman"/>
        <family val="1"/>
      </rPr>
      <t>Sociolegal</t>
    </r>
    <r>
      <rPr>
        <strike/>
        <sz val="12"/>
        <color rgb="FF000000"/>
        <rFont val="Times New Roman"/>
        <family val="1"/>
      </rPr>
      <t xml:space="preserve">: El delegado de la línea de trabajo de seguimiento al egreso del área Sociolegal  convoca mensualmente el comité de egresos con el fin de revisar los seguimientos realizados por cada uno de los contratistas o funcionarios  de las personas encontradas en base de datos semestrales de egresos entregadas por SIMI verificando que se realizaron las actividades requeridas para  para dar cierre de casos.   Esta información se registra en formato Acta de reunión A-GDO-FT-004 - Registro asistencia A-GDO-FT-010 y la novedad se registra en el SIMI/Módulo Socio legal/Acta de Egreso/Ver Seguimientos/Presentación a Comité. </t>
    </r>
  </si>
  <si>
    <t>mensual</t>
  </si>
  <si>
    <t xml:space="preserve"> Acta de reunión A-GDO-FT-004 - Registro asistencia A-GDO-FT-010 </t>
  </si>
  <si>
    <r>
      <rPr>
        <b/>
        <strike/>
        <sz val="12"/>
        <color rgb="FF000000"/>
        <rFont val="Times New Roman"/>
        <family val="1"/>
      </rPr>
      <t xml:space="preserve">Sociolegal: </t>
    </r>
    <r>
      <rPr>
        <strike/>
        <sz val="12"/>
        <color rgb="FF000000"/>
        <rFont val="Times New Roman"/>
        <family val="1"/>
      </rPr>
      <t xml:space="preserve">El delegado del componente de derecho sociolegal para el tema de reingresos, cada vez que se requiera, convoca el comité de reingresos de acuerdo las solicitudes del NNAJ,  para estudiar los casos y  tomar decisiones de posibles reingresos, cuando este lo amerite y sea condicionante para el bienestar del NNAJ. En caso de que la decisión sea positiva en los reingresos, se informa al NNAJ, se registra la novedad en SIMI, se hace traslado en el sistema y los traslada a la unidad, y en caso de que no sea positivo el reingreso se registra en SIMI. Lo anterior es consignado en formato Acta de reunión A-GDO-FT-004 - Registro asistencia A-GDO-FT-010 y la novedad se registra en el SIMI/Módulo Socio legal/Acta de Egreso/Ver Seguimientos/Presentación a Comité. </t>
    </r>
    <r>
      <rPr>
        <strike/>
        <sz val="12"/>
        <color rgb="FFFF0000"/>
        <rFont val="Times New Roman"/>
        <family val="1"/>
      </rPr>
      <t xml:space="preserve"> </t>
    </r>
  </si>
  <si>
    <t>cada vez que se requiera</t>
  </si>
  <si>
    <t>Acta de reunión A-GDO-FT-004 - Registro asistencia A-GDO-FT-010</t>
  </si>
  <si>
    <r>
      <rPr>
        <b/>
        <strike/>
        <sz val="12"/>
        <color rgb="FF000000"/>
        <rFont val="Times New Roman"/>
        <family val="1"/>
      </rPr>
      <t xml:space="preserve">Sociolegal: </t>
    </r>
    <r>
      <rPr>
        <strike/>
        <sz val="12"/>
        <color rgb="FF000000"/>
        <rFont val="Times New Roman"/>
        <family val="1"/>
      </rPr>
      <t xml:space="preserve">En caso de que se reciba una queja o denuncia por NNA en estado de  vulneración de derechos sin que la entidad  haya tomado medidas por ausencia y/o demoras en el seguimiento al egreso, se reactiva la ruta definida en el Instructivo de restablecimiento de derechos a NNA con sus derechos amenazados, inobservados o vulnerados M-PSS-IN-039  de acuerdo con las prioridades que presente. </t>
    </r>
  </si>
  <si>
    <t>No se encuentra documentado</t>
  </si>
  <si>
    <t>En caso de que se reciba una queja o denuncia por NNA en estado de  vulneración de derechos</t>
  </si>
  <si>
    <t>SIMI y Acta de reunión A-GDO-FT-004</t>
  </si>
  <si>
    <t>quejas y escándalos mediáticos</t>
  </si>
  <si>
    <t>debido a ocurrencia de situaciones de trato inadecuado a NNAJ, servidores o contratistas del Idipron.</t>
  </si>
  <si>
    <t>Posibilidad de afectación reputacional por quejas y escándalos mediáticos debido a ocurrencia de situaciones de trato inadecuado a NNAJ, servidores o contratistas del Idipron.</t>
  </si>
  <si>
    <t xml:space="preserve">Subdirecciones Misionales: Cada vez que se reciba una petición, queja o reclamo (PQR) relacionada con la ocurrencia de situaciones de trato inadecuado a NNAJ, servidores o contratistas del IDIPRON, el profesional encargado de las PQRS de la Subdirección informa al (la) Subdirector (a) correspondiente para que se inicie el seguimiento a la situación presentada.
Paralelamente, solicita información a la UPI o Gerencia correspondiente con el fin de dar respuesta de fondo desde la Subdirección respectivas
Finalmente las respuestas son emitidas a través del aplicativo Bogotá te escucha o con radicado a través del Cordis y envía copia al profesional encargado de UPI o Gerencia correspondiente   para que realice seguimiento a los compromisos generados </t>
  </si>
  <si>
    <t>Cada vez que se reciba una petición, queja o reclamo (PQR) relacionada con el trato inadecuado a un NNAJ</t>
  </si>
  <si>
    <t>Bitácora Consolidada PQR con los radicados de las respuestas emitidas</t>
  </si>
  <si>
    <t xml:space="preserve">Durante el periodo reportado, se registró una PQR relacionada con trato inadecuado bajo el radicado 2025ER931 – CORDIS. La situación fue atendida en la Unidad Oasis, donde se realizó una mesa misional el 18 de marzo de 2025, quedando registrada en el Sistema de Información Misional SIMI con el código A-GDO-FT-016 VR.12 – 04/10/2022 e ID 420575. Como parte del seguimiento, se confirmó que se garantizó el debido proceso, se documentaron los soportes en la historia social del beneficiario, y se tomaron medidas correctivas internas. Adicionalmente, se brindaron recomendaciones al equipo pedagógico para prevenir recurrencias, fortaleciendo los principios del pacto de convivencia.
El control fue activado oportunamente y se gestionó de manera integral desde el enfoque misional. La intervención institucional fue diligente, se mantuvo la documentación necesaria, y se tomaron acciones correctivas y preventivas que permiten mitigar este tipo de riesgos. Se considera que el control fue ejecutado de manera efectiva, y contribuyó a mantener los principios de protección y dignidad en la atención a los NNAJ.
Subdirección de Oportunidades: para el cuatrimestre no se recibieron requerimientos de trato inadeacuado por el Idipron por NNJA, contrastistas y servidores,
Subdirección Técnica de Lineamientos y Políticas
En la vigencia del primer cuatrimestre del año 2025 se gestionaron dos (2) requerimientos, el primero con número de radicado 2025ER760 Queja proveniente de los Enfermeras de la UPI Bosa, donde la Gerencia de Capacidades y Derechos como supervisora del contrato y el Componente de Salud se comprometen a fortalecer el control y seguimiento a la ejecución de las obligaciones detalladas en el documento del contrato de prestación de servicios, de acuerdo con lo que para su función establece el MANUAL DE SUPERVISIÓN E INTERVENTORÍA A-GCO-MA-001.
El segundo con numero de radicado 2025ER1085 Queja de Profesora de la UPI 27, donde el Componente de Educación en concordancia con el debido proceso le invita amablemente a que presente soportes de las afirmaciones contenidas en su queja y en particular, si tiene alguna evidencia o prueba formal de lo que afirma y, si es posible, por favor allegar copias. 
El tercero con numero de radicado 2025ER1118 Queja de Profesor UPI la 32 donde manifiesta tratos discriminatorios; desde la Gerencia de Capacidades y Derechos como supervisora del contrato, se indica que se ha mantenido una comunicación con el fin de estar al tanto de las valoraciones médicas y las restricciones dictadas por los profesionales de la salud en cada una de sus citas, por esta razón, en diferentes oportunidades le hemos solicitado tales dictámenes, también se indica que el Instituto, desde la Gerencia de Capacidades y Derechos como Supervisora del contrato, ha encaminado esfuerzos para brindar todas las garantías necesarias para el cumplimiento de las obligaciones y la correcta ejecución del contrato, teniendo muy en cuenta todas las limitaciones que acompañan el proceso médico del contratista, razón por la cual, desde el 27 de marzo 2025 se encuentra asignado a la UPI La 32, unidad donde aduce el peticionario “me da las garantías a cumplir las recomendaciones que me dio el medico general”
</t>
  </si>
  <si>
    <t xml:space="preserve">
SUBDIRECCIÓN POBLACIONAL
Durante los meses de enero, febrero y marzo 2025, no se presentaron quejas de trato inadecuado con la ocurrencia de situaciones de trato inadecuado a NNAJ, servidores o contratistas del IDIPRON</t>
  </si>
  <si>
    <t>Control 1:
Se verifica la implementación del control a través de la bitácora de PQRS recibidas en el cuatrimestre, bajo el formato M-DAL-FT-009 y su respectivo seguimiento.
Control 2:
Para el periodo no se requirió la aplicación del control, debido a que no se presentaron quejas de trato inadecuado en las unidades de Externado.
Control 3:
Se observa la aplicación del control con la trazabilidad del correo electrónico enviado y su respectiva gestión.
Acción de fortalecimiento: NO se relaciona por parte del proceso actividades asociadas a la acción de fortalecimiento
No se materializa el riesgo.</t>
  </si>
  <si>
    <t>Control 1:
Se evidencio la ejecución de la actividad del control con el tablero control de las PQRS recibidas en el cuatrimestre, bajo el formato M-DAL-FT-009 con su respectivo seguimiento.
Control 2:
Se reportó que durante este periodo no se dio aplicación a la actividad de control, debido a que no se presentaron quejas de trato inadecuado en las unidades de Externado.
Control 3:
Se evidencio la ejecución de la actividad del control con la trazabilidad del correo electrónico enviado y su respectiva gestión.
Acción de fortalecimiento: No se aporto evidencia que de cuenta de ejecicón de la accion de fortalecimiento.
No se materializa el riesgo
Recomendación: En cuanto a la acción de fortalecimiento, se sugiere implementar mecanismos que garanticen su ejecución y documentación, asegurando que las mejoras en el proceso sean visibles y medibles.</t>
  </si>
  <si>
    <r>
      <rPr>
        <b/>
        <sz val="12"/>
        <color rgb="FF000000"/>
        <rFont val="Times New Roman"/>
      </rPr>
      <t>Externado</t>
    </r>
    <r>
      <rPr>
        <sz val="12"/>
        <color rgb="FF000000"/>
        <rFont val="Times New Roman"/>
      </rPr>
      <t>: Mensualmente la profesional responsable en la Gerencia Operativa solicita por correo electrónico a la Subdirección Poblacional el listado de las unidades de externado con planes de mejora relacionados con pqrs asociadas a trato inadecuado; con el fin de que el líder del contexto solicite a la UPI las evidencias que soporten la ejecución de las actividades con el fin de verificar el cumplimiento de los compromisos definidos</t>
    </r>
  </si>
  <si>
    <t xml:space="preserve">Cada vez que la Subdirección de Lineamientos informe sobre compromisos establecidos </t>
  </si>
  <si>
    <t>Correos electrónicos solicitados a la Subdirección Poblacional
Acta de la mesa de seguimiento misional 
Soportes del cumplimiento de compromisos</t>
  </si>
  <si>
    <t xml:space="preserve">No se presentaron quejas de trato inadecuado en las unidades de Externado durante los meses de enero a abril 2025, lo que implica que no hay activos planes de mejora sobre PQRS. </t>
  </si>
  <si>
    <t>No se presentaron quejas de trato inadecuado en las unidades de Externado durante los meses de enero a abril 2025</t>
  </si>
  <si>
    <r>
      <rPr>
        <b/>
        <sz val="12"/>
        <color rgb="FF000000"/>
        <rFont val="Times New Roman"/>
      </rPr>
      <t>Internado</t>
    </r>
    <r>
      <rPr>
        <sz val="12"/>
        <color rgb="FF000000"/>
        <rFont val="Times New Roman"/>
      </rPr>
      <t>:  Mensualmente la profesional responsable en la Gerencia Operativa solicita por correo electrónico a la Subdirección Poblacional el listado de las unidades de internado con planes de mejora relacionados con pqrs asociadas a trato inadecuado con el fin de que el líder del contexto solicita a la UPI las evidencias que soporten la ejecución de las actividades con el fin de verificar el cumplimiento de los compromisos definidos</t>
    </r>
  </si>
  <si>
    <t>Durante el periodo comprendido entre enero y abril de 2025, se realizó una solicitud formal, a través de correo electrónico, a las Unidades de Protección Integral (UPI), con el fin de recopilar las evidencias correspondientes a los planes de mejora derivados de PQR relacionadas con situaciones de trato inadecuado. En dicha comunicación, se copió a la Subdirección Técnica Poblacional para su conocimiento y seguimiento.
Como resultado de esta gestión, la Subdirección informó que, en ese periodo, únicamente la Unidad San Francisco reportó haber recibido una queja por trato inadecuado, cumpliendo con la entrega del respectivo plan de mejora conforme a lo solicitado. Las demás unidades manifestaron no haber tenido PQR asociadas a situaciones de trato inadecuado, motivo por el cual no presentaron planes de mejora en esta materia.
Esta información fue socializada en la Mesa de Contexto de Unidades, realizada el día 23 de abril de 2025, y se dejó constancia en el acta correspondiente. Adicionalmente, se anexa a dicha acta el plan de mejora presentado por la Unidad San Francisco como evidencia del cumplimiento del procedimiento establecido.</t>
  </si>
  <si>
    <t>demandas, quejas, escándalos mediáticos</t>
  </si>
  <si>
    <t xml:space="preserve">Debido a la afectación del estado de salud de los NNAJ, ocasionada por la naturalización de lesiones personales, inobservancia de las medidas de seguridad, inadecuado uso de elementos de protección personal, herramientas, materiales e insumos, y/o lineamientos establecidos en  el desarrollo de las actividades propias del Modelo Pedagógico y la fabricación de alimentos </t>
  </si>
  <si>
    <t xml:space="preserve">Posibilidad de afectación económica y/o reputacional por demandas, quejas, escándalos mediáticos debido a la afectación del estado de salud de los NNAJ, ocasionada por la naturalización de lesiones personales, inobservancia de las medidas de seguridad, inadecuado uso de elementos de protección personal, herramientas, materiales e insumos, y/o lineamientos establecidos en  el desarrollo de las actividades propias del Modelo Pedagógico y la fabricación de alimentos. </t>
  </si>
  <si>
    <r>
      <rPr>
        <b/>
        <sz val="12"/>
        <color rgb="FF000000"/>
        <rFont val="Times New Roman"/>
        <family val="1"/>
      </rPr>
      <t xml:space="preserve">Espiritualidad: </t>
    </r>
    <r>
      <rPr>
        <sz val="12"/>
        <color rgb="FF000000"/>
        <rFont val="Times New Roman"/>
        <family val="1"/>
      </rPr>
      <t>Cada vez que se realice una salida programada,  el referente del Área de Espiritualidad asignado para la actividad verifica con el formato Planeación Actividades Pedagógicas M-PSS-FT-071 la asistencia de  los NNAJ autorizados de acuerdo con el estado de afiliación al sistema de salud reportado  por el  Área de Salud 
En caso de que un NNAJ no se encuentre afiliado al sistema de salud, se determina que no puede participar en la actividad y se registra en la columna Tutor / Acudiente que Autoriza</t>
    </r>
    <r>
      <rPr>
        <b/>
        <sz val="12"/>
        <color rgb="FF000000"/>
        <rFont val="Times New Roman"/>
        <family val="1"/>
      </rPr>
      <t xml:space="preserve"> </t>
    </r>
  </si>
  <si>
    <t>Cada vez que se realice una salida programada</t>
  </si>
  <si>
    <t>Planeación Actividades Pedagógicas M-PSS-FT-071</t>
  </si>
  <si>
    <t>ASUMIR EL RIESGO</t>
  </si>
  <si>
    <t>De acuerdo con la. Metodología para la administración del riesgo, no se formulan acciones de fortalecimiento para la vigencia 2024, por cuanto los controles existentes se consideran suficientes y permiten mitigar el riesgo</t>
  </si>
  <si>
    <t>Para el periodo de enero - abril  2025 no se llevaron a cabo Campamentos y Pasadías  con los NNAJ a cargo del Componente de Espiritualidad, motivo por el cual no se ejecuta dicho control.</t>
  </si>
  <si>
    <t>Control 1 y 2: 
Para este periodo no se aplica el control, según lo descrito por el proceso.
Control 3: 
Se evidencia la aplicación del control, para la verificación del uso adecuado de EPP, a través de las actas y listas de asistencia
Control 4:
Se observa la aplicación del control mediante el formato Solicitud - Entrega – Devolución elementos de protección personal - EPP A-GDH-FT-073 a los convenios baños públicos y comedor.
Para el convenio Movilidad se utiliza el  formato entrega de elementos de consumo a NNAJ M-PSS-FT- 189.
Por lo cual se sugiere que con la OAP se revise o se incluya en las evidencias establecidas para este control para contemplar el formato 189
Control 5:
Se identifica la aplicación del control mediante el formato INSPECCIÓN DE ELEMENTOS DE PROTECCIÓN PERSONAL (EPP) A-GDH-FT-068
Control 6:
Se verifica la aplicación del control, mediante el formato M-PSS-FT-127 para los meses de marzo. y abril.
Sin embargo, la periodicidad del control es Bimestral y no se observa el control aplicado para el bimestre enero - febrero.
Control 7 y 8:
El proceso indica que para el periodo no aplican la actividad de control y que se realizará en el segundo semestre, dando respuesta a la periodidica anual del mismo
Control 9:
Se verifica la póliza de vida, cumpliendo con lo establecido en el control
Control 10:
Se observa el cumplimiento del control con las evidencias suministradas: Correos electrónicos con las vinculaciones a pólizas
No requiere acción de fortalecimiento
No se materializó el riesgo</t>
  </si>
  <si>
    <t xml:space="preserve">Control 1:
Se reportó que durante este periodo no se dio aplicación a la actividad de control
Control 2: 
Se reportó que durante este periodo no se dio aplicación a la actividad de control
Control 3: 
Se evidencio la ejecución de la actividad del control con las actas y listas de asistencia
Control 4:
Se evidencio la ejecución de la actividad del control con el formato Solicitud - Entrega – Devolución elementos de protección personal - EPP A-GDH-FT-073 a los convenios baños públicos y comedor; Para el convenio Movilidad se utiliza el  formato entrega de elementos de consumo a NNAJ M-PSS-FT- 189, este último no se encuentra registrado en la casilla de evidencias.
Control 5:
Se evidencio la ejecución de la actividad del control con el formato INSPECCIÓN DE ELEMENTOS DE PROTECCIÓN PERSONAL (EPP) A-GDH-FT-068
Control 6:
Se verifica la aplicación del control, mediante el formato M-PSS-FT-127 para los meses de marzo y abril, no obstante, el proceso no aporto evidencia de los meses de enero y febrero, 
Control 7:
Se reportó que durante este periodo no se dio aplicación a la actividad de control, toda vez que, En el periodo de enero - abril 2025 no se realiza el procedimiento perfil sanitario A-GIAE-PR-012 en los servicios de alimentación de las UPIs, por lo cual no se ejecuta el control, adicionalmente la periodicidad en anual
Control 8:
Se reportó que durante este periodo no se dio aplicación a la actividad de control, ya que en el periodo de enero - abril 2025 no se realiza el procedimiento perfil sanitario A-GIAE-PR-012 en los servicios de alimentación de las UPIs, por lo cual no se ejecuta el control, sin embargo su periodicidad es mensual.
Control 9:
Se evidenció la ejecución de la actividad de control con la Nota de Cobertura para la Póliza , bajo las condiciones de cotización pactadas y aceptadas por el Tomador, para la licitación pública LP-IDIPRON-2025-000
Control 10:
Se evidenció la ejecución de la actividad de control con las polizas y los correos
De acuerdo con la Metodología para la administración del riesgo, no se formulan acciones de fortalecimiento, ya que los controles existentes se consideran suficientes y permiten mitigar el riesgo.
No se materializó el riesgo
Recomendación: Es fundamental asegurar que todos los formatos utilizados estén correctamente registrados en las casillas de evidencia, evitando posibles omisiones que puedan afectar la supervisión del proceso, por lo tanto, se recomienda gestionar la recuperación de evidencia faltante, como los registros de los meses de enero y febrero en el Control 6, para garantizar la cobertura completa del periodo evaluado.
</t>
  </si>
  <si>
    <r>
      <rPr>
        <b/>
        <sz val="12"/>
        <color rgb="FF000000"/>
        <rFont val="Times New Roman"/>
        <family val="1"/>
      </rPr>
      <t>Espiritualidad</t>
    </r>
    <r>
      <rPr>
        <sz val="12"/>
        <color rgb="FF000000"/>
        <rFont val="Times New Roman"/>
        <family val="1"/>
      </rPr>
      <t xml:space="preserve">: Cada vez que se presenta una salida programada,  el referente del Componente de Derecho de Espiritualidad  asignado para la actividad, verifica la asistencia de un auxiliar de enfermería registrándolo en el formato de listado de asistencia A-GDH-FT-010 que se anexa al formato Acta A-GDO-FT-004. En caso de no asistencia de  auxiliar de enfermería, se debe verificar la asistencia del primer respondiente o una persona capacitada y certificada en prestar los primeros auxilios. En caso de que no se cuente con ninguno de estas personas, la actividad no se puede llevar a cabo. </t>
    </r>
  </si>
  <si>
    <t>listado de asistencia A-GDH-FT-010 que se anexa al formato Acta A-GDO-FT-004</t>
  </si>
  <si>
    <t xml:space="preserve">Para el periodo de enero - abril 2025 no se llevaron a cabo Campamentos y Pasadías con los NNAJ a cargo del Componente de Espiritualidad, motivo por el cual no se ejecuta dicho control.motivo por el cual no se ejecuta el control en el seguimiento de la asistencia de un Auxiliar </t>
  </si>
  <si>
    <r>
      <rPr>
        <b/>
        <sz val="12"/>
        <color rgb="FF000000"/>
        <rFont val="Times New Roman"/>
      </rPr>
      <t>Gerencia de Inserción Socioeconómica - Formación Técnica</t>
    </r>
    <r>
      <rPr>
        <sz val="12"/>
        <color rgb="FF000000"/>
        <rFont val="Times New Roman"/>
      </rPr>
      <t xml:space="preserve">: El educador/tallerista de cada una de las upi verifica mensualmente de forma aleatoria que los adolescentes y jóvenes utilizan los elementos de protección personal acorde con los protocolos de seguridad de cada taller, dejando registro de lo evidenciado en el formato Acta de reunión A-GDO-FT-004 y Registro de asistencia diaria de los AJ M-PSS-FT-073
</t>
    </r>
  </si>
  <si>
    <t>Reglamento De Ingreso Y Permanencia En Talleres M-PSS-DI-001</t>
  </si>
  <si>
    <t>Acta de reunión A-GDO-FT-004 y Registro de asistencia diaria M-PSS-FT-073</t>
  </si>
  <si>
    <t>Se realizo la revisión aleatoria en las UPI de Perdomo, la 32 y Bosa con el fin de verificar el cumplimiento del uso de los elementos de protección con el fin de eviitar accidentes y dar cumplimiento a la verificación en el formato Acta de reunión A-GDO-FT-004 y Registro de asistencia diaria de los AJ M-PSS-FT-073.</t>
  </si>
  <si>
    <t xml:space="preserve">Gerencia Estrategias  de Corresponsabilidad 
Cada vez que se inicie un convenio en donde sea necesario el uso de EPP, el coordinador del convenio debe realizar la entrega de los EPP a cada uno de los beneficiarios que hacen parte del convenio, dejando evidencia de la entrega en el formato Solicitud - Entrega – Devolución elementos de protección personal - EPP A-GDH-FT-073. </t>
  </si>
  <si>
    <t xml:space="preserve">M-PSS-PR-001 Gestión Estructura y Desarrollo de Convenios </t>
  </si>
  <si>
    <t>Cada vez que se inicie un convenio</t>
  </si>
  <si>
    <t>Solicitud - Entrega – Devolución elementos de protección personal - EPP A-GDH-FT-073.</t>
  </si>
  <si>
    <t>El coordinador/a del convenio de baños publicos y comedores  realiza  la entrega de los EPP a cada uno de los beneficiarios que hacen parte del convenio, dejando evidencia de la entrega en el formato Solicitud - Entrega – Devolución elementos de protección personal - EPP A-GDH-FT-073 y el convenio de movilidad utiliza el formato entrega de elementos de consumo a NNAJ M-PSS-FT- 189.</t>
  </si>
  <si>
    <t>El Convenio de Movilidad utiliza para la entrega de los EPP, el  formato entrega de elementos de consumo a NNAJ M-PSS-FT- 189.</t>
  </si>
  <si>
    <t xml:space="preserve">Gerencia Estrategias  de Corresponsabilidad 
Cada vez que se realicen las actividades de campo establecidas en la minuta del convenio interadministrativo, el supervisor del convenio asignado,  debe realizar seguimiento al uso de los EPP en el formato INSPECCIÓN DE ELEMENTOS DE PROTECCIÓN PERSONAL (EPP) A-GDH-FT-068. En caso de que en la inspección realizada se determine que un beneficiario no tiene los elementos de protección personal, el responsable del convenio no permite que el beneficiario realice labores ese día. </t>
  </si>
  <si>
    <t>formato INSPECCIÓN DE ELEMENTOS DE PROTECCIÓN PERSONAL (EPP) A-GDH-FT-068</t>
  </si>
  <si>
    <t xml:space="preserve">Durante la realizacion de las actividades de campo establecidas en la minuta del convenio interadministrativo, se realiza seguimiento al uso de los EPP en el formato INSPECCIÓN DE ELEMENTOS DE PROTECCIÓN PERSONAL (EPP) A-GDH-FT-068. </t>
  </si>
  <si>
    <r>
      <rPr>
        <b/>
        <sz val="12"/>
        <color rgb="FF000000"/>
        <rFont val="Times New Roman"/>
      </rPr>
      <t>Salud</t>
    </r>
    <r>
      <rPr>
        <sz val="12"/>
        <color rgb="FF000000"/>
        <rFont val="Times New Roman"/>
      </rPr>
      <t>: Los profesionales de seguridad alimentaria realizan la visita de acompañamiento y asesoría técnica en buenas prácticas de manufactura a los servicios de alimentación, donde bimestralmente y de forma aleatoria se inspeccionan los espacios de fabricación de alimentos de las UPIs, en donde se tiene en cuenta aspectos como: Instalaciones sanitarias, Equipos y utensilios, Personal manipulador de alimentos, Requisitos higiénicos de fabricación, saneamiento, Almacenamiento y distribución, entre otros. Toda esta información es registrada en el formato (M-PSS-FT-127)  bajo los requerimientos establecidos por la resolución 2674 de 2013 de Ministerio de salud la protección social.</t>
    </r>
  </si>
  <si>
    <t>Se encuentra documentado en el 006 MANUAL OPERATIVO AREA DE SALUD M-DAL-MA-016</t>
  </si>
  <si>
    <t>Bimestralmente</t>
  </si>
  <si>
    <t>formato M-PSS-FT-127</t>
  </si>
  <si>
    <t>Durante el periodo de enero - abril 2025 se realiaza visita de acompañamiento y asesoría técnica en buenas prácticas de manufactura a los servicios de alimentación, en UPIs, Florida, La 32, La 27, Perdomo, Conservatorio, Santa Lucia, Oasis y Bosa, donde se inspecciono los espacios de fabricación de alimentos, registrando la información en el formato (M-PSS-FT-127)  bajo los requerimientos establecidos por la resolución 2674 de 2013 de Ministerio de salud la protección social.</t>
  </si>
  <si>
    <r>
      <rPr>
        <b/>
        <sz val="12"/>
        <color rgb="FF000000"/>
        <rFont val="Times New Roman"/>
        <family val="1"/>
      </rPr>
      <t>Salud</t>
    </r>
    <r>
      <rPr>
        <sz val="12"/>
        <color rgb="FF000000"/>
        <rFont val="Times New Roman"/>
        <family val="1"/>
      </rPr>
      <t>: Los profesionales de seguridad alimentaria ejecutan anualmente en todos los servicios de alimentación de las UPIs el procedimiento perfil sanitario A-GIAE-PR-012 verificando el cumplimiento de los requisitos estipulados en el marco legal de la Resolución 2674 de 2013 de Buenas Prácticas de Manufactura en los servicios de alimentación, involucrando las diferentes áreas del Instituto. Dicha inspección se registra en el formato Perfil Sanitario Servicios de Alimentación A-GIAE-FT-022</t>
    </r>
  </si>
  <si>
    <t>Anualmente</t>
  </si>
  <si>
    <t>formato Perfil Sanitario Servicios de Alimentación A-GIAE-FT-022</t>
  </si>
  <si>
    <t>En el periodo de enero - abril 2025 no se realiza el procedimiento perfil sanitario A-GIAE-PR-012 en los servicios de alimentación de las UPIs, por lo cual no se ejecuta el control.</t>
  </si>
  <si>
    <t>Se realiza de manera anual, siendo el rango de periodo para el cumplimiento  el segundo cuatrimestre del año</t>
  </si>
  <si>
    <r>
      <rPr>
        <b/>
        <sz val="12"/>
        <color rgb="FF000000"/>
        <rFont val="Times New Roman"/>
        <family val="1"/>
      </rPr>
      <t>Salud:</t>
    </r>
    <r>
      <rPr>
        <sz val="12"/>
        <color rgb="FF000000"/>
        <rFont val="Times New Roman"/>
        <family val="1"/>
      </rPr>
      <t xml:space="preserve"> En caso de que en la inspección realizada, la evaluación  arroje una calificación inferior a 100%,  los profesionales de seguridad alimentaria, generan las alertas necesarias para que se formulen las acciones correctivas que permitan mejorar las condiciones encontradas. Posteriormente se realiza una visita de refuerzo para evaluar si las situaciones que generaron las alertas fueron subsanadas.</t>
    </r>
  </si>
  <si>
    <t>Se encuentra documentado en el 006 MANUAL OPERATIVO AREA DE SALUD M-MSD-MA-006</t>
  </si>
  <si>
    <t xml:space="preserve">Gerencia Administrativa
La Gerencia Administrativa anualmente suscribe la póliza de vida grupos que cubre a los NNAJ que hacen parte del Modelo Pedagógico y se encuentran registrados en el SIMI 
</t>
  </si>
  <si>
    <t>Póliza suscrita</t>
  </si>
  <si>
    <t xml:space="preserve">
    Desde la Gerencia Admistrativa se gerena Poliza  de Vida Grupo, emitida por la Firma Compañía Aseguradora de Fianzas S.A, con vigencia desde las 00:00 Hrs del 12 de mayo de 2025 hasta las 00:00 Hrs del 04 de octubre de 2026; La mencionada Póliza fue adjudicada mediante Contrato de Seguros No 1539 de 2025, se adjunta Copia Nota de Cobertura de la Póliza de Vida Grupo.</t>
  </si>
  <si>
    <t xml:space="preserve">La poliza tiene un tiempo de expedición que se cruza con el monitorieo, por lo tanto de adjunta NOta de Cobertura, sin embargo, es de aclarar que la Poliza se encuentra actuva y vigente. </t>
  </si>
  <si>
    <t>Subdirección de Oportunidades
Cada vez que se vincule un AJ a un convenio, el o la profesional asignada por la Subdirección de Oportunidades envía listado a la Gerencia Administrativa para que sean incluidos en el cubrimiento de la Póliza de Accidentes Personales</t>
  </si>
  <si>
    <t>Protocolo De Activación De Póliza En Caso De Accidente En Actividades De Corresponsabilidad Modalidad Estímulo M-PSS-IN-005</t>
  </si>
  <si>
    <t>Cada vez que se vincule un AJ a un taller</t>
  </si>
  <si>
    <t>Póliza suscrita / Correos Electrónicos</t>
  </si>
  <si>
    <t>Entre los meses de enero a abril del presente año, se llevó a cabo de manera oportuna y conforme a los tiempos establecidos la solicitud de vinculación de los Adolescentes y Jóvenes, así como el envío del listado correspondiente a la Gerencia Administrativa y a la aseguradora encargada de la póliza de accidentes personales, con el fin de garantizar su cobertura y atención en caso de presentarse algún accidente durante el desarrollo de las actividades formativas y pedagógicas. Esta gestión se realizó en respuesta a las solicitudes emitidas por el equipo responsable de las actividades de corresponsabilidad bajo la modalidad de estímulo, así como por el equipo de la Gerencia de Inserción Socioeconómica, encargado de los talleres, asegurando específicamente la cobertura de los AJ matriculados en los procesos formativos de talleres desarrollados en las diferentes unidades. La ejecución oportuna de esta actualización fue fundamental para garantizar que los AJ contaran con la protección necesaria desde el inicio de sus actividades, cumpliendo con los lineamientos institucionales y velando por su bienestar e integridad, permitiendo una atención inmediata y efectiva en caso de requerirse.</t>
  </si>
  <si>
    <t>quejas, escándalos mediáticos o hallazgos de entes de control</t>
  </si>
  <si>
    <t>falta de los elementos de consumo y alimentos necesarios para la correcta prestación de los servicios, ocasionado por fallas en la planeación, abastecimiento, preservación, custodia, entrega y seguimiento de la destinación final.</t>
  </si>
  <si>
    <t>Posibilidad de afectación reputacional por quejas, escándalos mediáticos o hallazgos de entes de control debido a la falta de los elementos de consumo y alimentos necesarios para la correcta prestación de los servicios, ocasionado por fallas en la planeación, abastecimiento, preservación, custodia, entrega y seguimiento de la destinación final.</t>
  </si>
  <si>
    <r>
      <rPr>
        <b/>
        <strike/>
        <sz val="12"/>
        <color rgb="FF000000"/>
        <rFont val="Times New Roman"/>
        <family val="1"/>
      </rPr>
      <t>Externado</t>
    </r>
    <r>
      <rPr>
        <strike/>
        <sz val="12"/>
        <color rgb="FF000000"/>
        <rFont val="Times New Roman"/>
        <family val="1"/>
      </rPr>
      <t>: El líder del contexto, cada vez que se realizan ingresos de AJ a las Unidades, envía correo electrónico a los responsables de UPI y Economato relacionando la proyección de ingresos de acuerdo con lo recibido por parte del contexto territorio, con el fin de asegurar el suministro de alimentos a los AJ</t>
    </r>
    <r>
      <rPr>
        <strike/>
        <sz val="12"/>
        <color rgb="FFFFFF00"/>
        <rFont val="Times New Roman"/>
        <family val="1"/>
      </rPr>
      <t xml:space="preserve"> </t>
    </r>
  </si>
  <si>
    <t>cada vez que se realizan ingresos de AJ a las Unidades</t>
  </si>
  <si>
    <t>Corre Electrónico</t>
  </si>
  <si>
    <t>Mesa de trabajo con la Gerencia de Recursos Fisicos para revisar y actualizar los controles que son de su responsabilidad y analizar la posibilidad de trasladar el riesgo.</t>
  </si>
  <si>
    <t>Equipo Trasversal Riesgos
Gerencia de Recursos Físicos</t>
  </si>
  <si>
    <r>
      <rPr>
        <b/>
        <strike/>
        <sz val="12"/>
        <color rgb="FF000000"/>
        <rFont val="Times New Roman"/>
        <family val="1"/>
      </rPr>
      <t>Gerencia de Recursos Físicos</t>
    </r>
    <r>
      <rPr>
        <strike/>
        <sz val="12"/>
        <color rgb="FF000000"/>
        <rFont val="Times New Roman"/>
        <family val="1"/>
      </rPr>
      <t>: Los funcionarios o contratistas de la Gerencia de Recursos Físicos, realiza seguimiento semanal verificando a través del formato CONTROL DE ESPACIOS DE ALMACENAMIENTO TEMPORAL A-GIAE-FT-017 el registro de las entradas generadas en la semana anterior contra las comprobantes de egreso generadas por el almacén y los traslados de elementos de consumo entre unidades y las salidas contra los soportes de entrega a NNAJ, Contratistas o Funcionarios.</t>
    </r>
  </si>
  <si>
    <t>Documentado en el Procedimiento Gestión y Control de Elementos de Consumo  y Consumo Controlado Ubicados en los espacios de Almacenamiento Temporal de las Unidades de Protección Integral   A-GIAE-PR-010</t>
  </si>
  <si>
    <t>Semanalmente</t>
  </si>
  <si>
    <t>CONTROL DE ESPACIOS DE ALMACENAMIENTO TEMPORAL A-GIAE-FT-017</t>
  </si>
  <si>
    <t>Control 5:</t>
  </si>
  <si>
    <r>
      <rPr>
        <b/>
        <strike/>
        <sz val="12"/>
        <color rgb="FF000000"/>
        <rFont val="Times New Roman"/>
        <family val="1"/>
      </rPr>
      <t>Economato</t>
    </r>
    <r>
      <rPr>
        <strike/>
        <sz val="12"/>
        <color rgb="FF000000"/>
        <rFont val="Times New Roman"/>
        <family val="1"/>
      </rPr>
      <t xml:space="preserve">: Los profesionales delegados por el componente economato para la programación de alimentos verifican semanalmente que los alimentos que se van a despachar a las diferentes UPI sean suficientes para atender la demanda requerida, para lo cual revisan que en el formato cobertura de programación semanal M-PSS-FT-196 se tenga en cuenta las novedades y necesidades reportadas por las UPI vía correo electrónico y con esta información se realiza la programación o cancelación de productos a través del formato Programación de pedidos a proveedores A-GIAE-FT-027.
</t>
    </r>
  </si>
  <si>
    <t>Documentado en el Procedimiento Abastecimiento de alimentos centro de acopio A-GIAE-PR-011</t>
  </si>
  <si>
    <t>formato Programación de pedidos a proveedores A-GIAE-FT-027</t>
  </si>
  <si>
    <t>Se identifica la aplicación del control mediante el formato INSPECCIÓN DE ELEMENTOS DE PROTECCIÓN PERSONAL (EPP) A-GDH-FT-068</t>
  </si>
  <si>
    <r>
      <rPr>
        <b/>
        <strike/>
        <sz val="12"/>
        <color rgb="FF000000"/>
        <rFont val="Times New Roman"/>
        <family val="1"/>
      </rPr>
      <t>Gerencia de Recursos Físicos:</t>
    </r>
    <r>
      <rPr>
        <strike/>
        <sz val="12"/>
        <color rgb="FF000000"/>
        <rFont val="Times New Roman"/>
        <family val="1"/>
      </rPr>
      <t xml:space="preserve">  En caso de que se evidencie un posible desabastecimiento de algún bien de consumo,  Los funcionarios o contratistas de la Gerencia de Recursos Físicos verifican la existencia del bien en otros espacios de almacenamiento temporal y gestionan el respectivo traslado hacia la unidad que lo requiere. </t>
    </r>
  </si>
  <si>
    <t>En caso de que se evidencie un posible desabastecimiento de algún bien de consumo</t>
  </si>
  <si>
    <t xml:space="preserve">Formato Atención a requerimientos de traslados de bienes de consumos </t>
  </si>
  <si>
    <t>Realizar la revisión de los documentos del proceso para incluir los controles definidos</t>
  </si>
  <si>
    <t>Delegado SIGID Gerencia de Recursos Físicos</t>
  </si>
  <si>
    <r>
      <rPr>
        <b/>
        <strike/>
        <sz val="12"/>
        <color rgb="FF000000"/>
        <rFont val="Times New Roman"/>
        <family val="1"/>
      </rPr>
      <t>Economato</t>
    </r>
    <r>
      <rPr>
        <strike/>
        <sz val="12"/>
        <color rgb="FF000000"/>
        <rFont val="Times New Roman"/>
        <family val="1"/>
      </rPr>
      <t>: Cuando se detecta un desabastecimiento de alimentos en una UPI, los profesionales de Economato realizan la verificación  y si es necesario se realiza pedidos extraordinarios a los proveedores o se revisa   la existencia de los productos en otras unidades y realizan la redistribución hacia las unidades donde se presenta el desabastecimiento.</t>
    </r>
  </si>
  <si>
    <t>Documentado en el Protocolo de atención de contingencias en el suministro de alimentos A-GIAE-IN-008</t>
  </si>
  <si>
    <t>Cuando se detecta un desabastecimiento de alimentos en una UPI</t>
  </si>
  <si>
    <t>Correo Electrónico</t>
  </si>
  <si>
    <t>Control 6:</t>
  </si>
  <si>
    <t>Sanciones y Multas</t>
  </si>
  <si>
    <t xml:space="preserve"> cierre de las unidades por Incumplimientos en la normatividad  de salubridad, medio ambiente o habitabilidad </t>
  </si>
  <si>
    <t>Posibilidad de afectación económica o reputacional por sanciones y multas que conlleve el cierre de  las unidades de protección integral por Incumplimientos en la normatividad  de salubridad, medio ambiente o habitabilidad.</t>
  </si>
  <si>
    <t>Internado: 
Los responsables de UPI realizan un seguimiento mensual a las necesidades de mantenimiento a la infraestructura documentando su estado de avance y soportando sus requerimientos al área de infraestructura, las cuales son registradas en Formato Acta Reunión A-GDO-FT-004, y si se requiere alguna intervención los responsables de UPI realizan la solicitud a través del sistema Aranda o correo electrónico</t>
  </si>
  <si>
    <t>Mantenimiento de Bienes Inmuebles A-GAMB-PR-001</t>
  </si>
  <si>
    <t xml:space="preserve">Formato Acta Reunión A-GDO-FT-004, Solicitud de Mantenimiento A-GSA-FT-003 </t>
  </si>
  <si>
    <t>ACEPTAR EL RIESGO</t>
  </si>
  <si>
    <t>“Realizar visitas a las unidades para verificar que las solicitudes de mantenimiento preventivo y correctivo a la 
infraestructura solicitadas a la Gerencia de Recursos físicos hayan sido ejecutadas</t>
  </si>
  <si>
    <t>Subdirección Poblacional (Gerencia Operativa)</t>
  </si>
  <si>
    <t xml:space="preserve"> 01 mayo al 30 noviembre de 2024</t>
  </si>
  <si>
    <t xml:space="preserve">Internado: 
Durante el periodo comprendido entre enero y abril de 2025, las UPIs en modalidad de externado cumplieron con la implementación mensual del control. Se elaboraron actas mensuales documentando el estado de la infraestructura y las novedades identificadas en cada unidad. Las situaciones que requerían intervención fueron reportadas oportunamente mediante la plataforma Aranda o vía correo electrónico, permitiendo su trazabilidad y gestión por parte del área encargada.
Adicionalmente, los responsables de las UPI realizaron seguimiento sistemático a cada uno de los requerimientos reportados, evidenciando avances y actualizaciones en las condiciones físicas de las instalaciones. Esta información ha sido clave para mantener una comunicación activa con el equipo técnico de infraestructura y garantizar la atención oportuna de las necesidades.
La ejecución oportuna y constante del control ha permitido reducir la exposición al riesgo de sanciones normativas derivadas de deficiencias en infraestructura. La documentación adecuada, la activación oportuna de las solicitudes de mantenimiento y el seguimiento continuo han fortalecido la capacidad de respuesta institucional ante eventualidades físicas, contribuyendo a la mejora de las condiciones de atención en las unidades de externado.
Se concluye que el control fue ejecutado satisfactoriamente en las UPIs de modalidad externado durante el primer cuatrimestre de 2025. El cumplimiento de este procedimiento ha favorecido la mitigación del riesgo identificado y refleja el compromiso institucional con el cumplimiento normativo, la calidad del servicio y el mantenimiento preventivo y correctivo de la infraestructura.
</t>
  </si>
  <si>
    <t>Control 1:
Se evidencia la aplicación del control, mediante las actas de reunión mensual y los seguimientos respectivos a las solicitudes de mantenimiento de infraestructura
Control 2:
Se evidencia la aplicación del control, mediante las actas de reunión mensual y los seguimientos respectivos a las solicitudes de mantenimiento de infraestructura
Control 3:
El proceso indica que para el periodo no aplican la actividad de control y que se realizará en el segundo semestre, dando respuesta a la periodidica anual del mismo
Control 4:
Para el periodo no fue necesario la aplicación del control, según lo expuesto en el monitoreo por parte del proceso
Acción de fortalecimiento: NO se relaciona por parte del proceso actividades asociadas a la acción de fortalecimiento
No se materializó el riesgo</t>
  </si>
  <si>
    <t>Control 1:
Se evidenció la ejecución de la actividad de control con las actas de reunión mensual y los seguimientos respectivos a las solicitudes de mantenimiento de infraestructura
Control 2:
Se evidenció la ejecución de la actividad de control con las actas de reunión mensual y los seguimientos respectivos a las solicitudes de mantenimiento de infraestructura
Control 3:
Se reportó que durante este periodo no se dio aplicación a la actividad de control, tiene periodicidad anual
Control 4:
Se reportó que durante este periodo no se dio aplicación a la actividad de control.
Acción de fortalecimiento: Se reportó que durante este periodo no se dio aplicación a la accion de fortalecimiento.
No se materializó el riesgo</t>
  </si>
  <si>
    <t>Externado: 
Los responsables de UPI realizan un seguimiento mensual a las necesidades de mantenimiento a la infraestructura documentando su estado de avance y soportando sus requerimientos al área de infraestructura, las cuales son registradas en Formato Acta Reunión A-GDO-FT-004, y si se requiere alguna intervención los responsables de UPI realizan la solicitud a través del sistema Aranda o correo electrónico</t>
  </si>
  <si>
    <t>“Formato Acta Reunión A-GDO-FT-004, Solicitud de 
Mantenimiento A-GSA-FT-003</t>
  </si>
  <si>
    <t xml:space="preserve">Externado: 
Durante los meses de enero a abril de 2025, todas las UPIs realizaron la evaluación mensual del estado de su infraestructura, levantando actas en cumplimiento del procedimiento establecido. En dichas actas se consignaron las novedades detectadas y se evidenció que cada situación fue debidamente reportada mediante la plataforma Aranda, conforme al protocolo institucional.
Asimismo, se verificó que cada requerimiento fue objeto de seguimiento mensual por parte de los responsables de las UPI, asegurando trazabilidad y actualización del estado de atención de cada caso. Esta gestión permitió mantener informada a la Subdirección Técnica Poblacional sobre las condiciones físicas de las unidades y canalizar oportunamente las solicitudes al área responsable.
El cumplimiento sistemático del control ha contribuido a mitigar el riesgo de sanciones por incumplimientos normativos en infraestructura, al garantizar una vigilancia continua, la documentación formal de las necesidades de mantenimiento y la activación oportuna de solicitudes de intervención. La trazabilidad de los reportes y seguimientos constituye una evidencia clara del compromiso institucional con la mejora continua de las condiciones físicas de atención.
Se evidencia que el control fue ejecutado conforme a lo establecido y ha aportado efectivamente a la mitigación del riesgo identificado, promoviendo el cumplimiento normativo y la adecuada gestión del mantenimiento de la infraestructura 
</t>
  </si>
  <si>
    <r>
      <rPr>
        <b/>
        <sz val="12"/>
        <color rgb="FF000000"/>
        <rFont val="Times New Roman"/>
        <family val="1"/>
      </rPr>
      <t>Salud</t>
    </r>
    <r>
      <rPr>
        <sz val="12"/>
        <color rgb="FF000000"/>
        <rFont val="Times New Roman"/>
        <family val="1"/>
      </rPr>
      <t>: 
Los profesionales de seguridad alimentaria ejecutan anualmente en todos los servicios de alimentación de las UPIs el procedimiento perfil sanitario A-GIAE-PR-012 verificando el cumplimiento de los requisitos estipulados en el marco legal de la Resolución 2674 de 2013 de Buenas Prácticas de Manufactura en los servicios de alimentación, involucrando las diferentes áreas del Instituto. Dicha inspección se registra en el formato Perfil Sanitario Servicios de Alimentación A-GIAE-FT-022</t>
    </r>
  </si>
  <si>
    <t>Subdirección de Lineamientos: Cuando se reciben informes que detectan  incumplimientos de la normatividad de salubridad, medio ambiente, o habitabilidad, Los profesionales de la Subdirección de Lineamientos en conjunto con el componente de Salud, las  Gerencias Administrativa y/o de Recursos Físicos según sea el tema,  realizan mesa  de trabajo para establecer un plan de mejoramiento  que contenga las acciones requeridas para subsanar los incumplimientos detectados. El plan se formula en el formato 007 PLAN DE MEJORAMIENTO S-SMG-FT-005</t>
  </si>
  <si>
    <t>MANUAL PARA LA ADMINISTRACIÓN DE 
PLANES DE MEJORAMIENTO S-SMG-MA-004</t>
  </si>
  <si>
    <t>Cuando se reciben informes o detectan  incumplimientos de la normatividad de salubridad, medio ambiente, o habitabilidad</t>
  </si>
  <si>
    <t>007 PLAN DE MEJORAMIENTO S-SMG-FT-005</t>
  </si>
  <si>
    <t>En el periodo de enero a abril 2025 no se recbiero informes que detectan  incumplimientos de la normatividad de salubridad, medio ambiente, o habitabilidad, por lo tanto no se llevaron acabo gestiones al rededor de planes de mejoramientos o vinculadas a dichas atenciones</t>
  </si>
  <si>
    <t>area de impacto</t>
  </si>
  <si>
    <t>PROBABILIDAD DE OCURRENCIA</t>
  </si>
  <si>
    <t>IMPACTO</t>
  </si>
  <si>
    <t>CONDICIONES RIESGO INHERENTE</t>
  </si>
  <si>
    <t>AFECTACIÓN ECONÓMICA O PRESUPUESTAL</t>
  </si>
  <si>
    <t>Económico</t>
  </si>
  <si>
    <t>MUY BAJA</t>
  </si>
  <si>
    <t>LEVE</t>
  </si>
  <si>
    <t>MUY BAJA - LEVE</t>
  </si>
  <si>
    <t>BAJO</t>
  </si>
  <si>
    <t>Afectación Menor a 700 SMLMV</t>
  </si>
  <si>
    <t>Leve</t>
  </si>
  <si>
    <t>BAJA</t>
  </si>
  <si>
    <t>MENOR</t>
  </si>
  <si>
    <t>MUY BAJA - MENOR</t>
  </si>
  <si>
    <t>Afectación Entre 700 y 1500 SMLMV</t>
  </si>
  <si>
    <t>Menor</t>
  </si>
  <si>
    <t>Económico y Reputacional</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</si>
  <si>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</si>
  <si>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</si>
  <si>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</si>
  <si>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</si>
  <si>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</si>
  <si>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</si>
  <si>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</si>
  <si>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</si>
  <si>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</si>
  <si>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</si>
  <si>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</si>
  <si>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</si>
  <si>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</si>
  <si>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</si>
  <si>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</si>
  <si>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</si>
  <si>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</si>
  <si>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</si>
  <si>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</si>
  <si>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</si>
  <si>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</si>
  <si>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El riesgo afecta la imagen de algún área de la organización.</t>
  </si>
  <si>
    <t>BAJA - MAYOR</t>
  </si>
  <si>
    <t>El riesgo afecta la imagen de la entidad internamente, de conocimiento general nivel interno, de junta directiva y/o de proveedores</t>
  </si>
  <si>
    <t>BAJA - CATASTRÓFICO</t>
  </si>
  <si>
    <t>MEDIA - LEVE</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</si>
  <si>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</si>
  <si>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</si>
  <si>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</si>
  <si>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</si>
  <si>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</si>
  <si>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</si>
  <si>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</si>
  <si>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</si>
  <si>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</si>
  <si>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ALTA - MAYOR</t>
  </si>
  <si>
    <t>ALTA - CATASTRÓFICO</t>
  </si>
  <si>
    <t>MUY ALTA - LEVE</t>
  </si>
  <si>
    <t>IMPLEMENTACIÓN</t>
  </si>
  <si>
    <t>MUY ALTA - MENOR</t>
  </si>
  <si>
    <t>Automático</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</si>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</sst>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48">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b/>
      <sz val="14"/>
      <color theme="1"/>
      <name val="Times New Roman"/>
      <family val="1"/>
    </font>
    <font>
      <b/>
      <sz val="12"/>
      <color rgb="FF000000"/>
      <name val="Times New Roman"/>
      <family val="1"/>
    </font>
    <font>
      <sz val="12"/>
      <color rgb="FF000000"/>
      <name val="Times New Roman"/>
      <family val="1"/>
    </font>
    <font>
      <sz val="10"/>
      <color rgb="FF000000"/>
      <name val="Times New Roman"/>
      <family val="1"/>
    </font>
    <font>
      <b/>
      <sz val="10"/>
      <color rgb="FF000000"/>
      <name val="Times New Roman"/>
      <family val="1"/>
    </font>
    <font>
      <sz val="11"/>
      <color rgb="FF444444"/>
      <name val="Calibri"/>
      <family val="2"/>
      <charset val="1"/>
    </font>
    <font>
      <sz val="14"/>
      <color rgb="FFFF0000"/>
      <name val="Times New Roman"/>
      <family val="1"/>
    </font>
    <font>
      <sz val="36"/>
      <color rgb="FFFF0000"/>
      <name val="Times New Roman"/>
      <family val="1"/>
    </font>
    <font>
      <strike/>
      <sz val="14"/>
      <color theme="1"/>
      <name val="Times New Roman"/>
      <family val="1"/>
    </font>
    <font>
      <b/>
      <strike/>
      <sz val="18"/>
      <color theme="1"/>
      <name val="Times New Roman"/>
      <family val="1"/>
    </font>
    <font>
      <strike/>
      <sz val="12"/>
      <color theme="1"/>
      <name val="Times New Roman"/>
      <family val="1"/>
    </font>
    <font>
      <strike/>
      <sz val="12"/>
      <color rgb="FF000000"/>
      <name val="Times New Roman"/>
      <family val="1"/>
    </font>
    <font>
      <b/>
      <strike/>
      <sz val="12"/>
      <color rgb="FF000000"/>
      <name val="Times New Roman"/>
      <family val="1"/>
    </font>
    <font>
      <strike/>
      <sz val="12"/>
      <name val="Times New Roman"/>
      <family val="1"/>
    </font>
    <font>
      <b/>
      <strike/>
      <sz val="14"/>
      <color theme="1"/>
      <name val="Times New Roman"/>
      <family val="1"/>
    </font>
    <font>
      <strike/>
      <sz val="12"/>
      <color rgb="FFFF0000"/>
      <name val="Times New Roman"/>
      <family val="1"/>
    </font>
    <font>
      <strike/>
      <sz val="12"/>
      <color rgb="FFFFFF00"/>
      <name val="Times New Roman"/>
      <family val="1"/>
    </font>
    <font>
      <b/>
      <strike/>
      <sz val="16"/>
      <color theme="1"/>
      <name val="Times New Roman"/>
      <family val="1"/>
    </font>
    <font>
      <strike/>
      <sz val="11"/>
      <color theme="1"/>
      <name val="Calibri"/>
      <family val="2"/>
      <scheme val="minor"/>
    </font>
    <font>
      <strike/>
      <sz val="10"/>
      <color theme="1"/>
      <name val="Times New Roman"/>
      <family val="1"/>
    </font>
    <font>
      <sz val="11"/>
      <color rgb="FF000000"/>
      <name val="Times New Roman"/>
      <family val="1"/>
    </font>
    <font>
      <sz val="11"/>
      <color theme="1"/>
      <name val="Times New Roman"/>
      <family val="1"/>
    </font>
    <font>
      <strike/>
      <sz val="11"/>
      <color theme="1"/>
      <name val="Times New Roman"/>
      <family val="1"/>
    </font>
    <font>
      <sz val="11"/>
      <color rgb="FF444444"/>
      <name val="Times New Roman"/>
      <family val="1"/>
    </font>
    <font>
      <b/>
      <sz val="14"/>
      <name val="Times New Roman"/>
      <family val="1"/>
    </font>
    <font>
      <sz val="12"/>
      <color rgb="FFFF0000"/>
      <name val="Times New Roman"/>
      <family val="1"/>
    </font>
    <font>
      <sz val="14"/>
      <color theme="1"/>
      <name val="Times New Roman"/>
    </font>
    <font>
      <sz val="14"/>
      <color rgb="FF000000"/>
      <name val="Times New Roman"/>
    </font>
    <font>
      <sz val="14"/>
      <color rgb="FF444444"/>
      <name val="Times New Roman"/>
    </font>
    <font>
      <b/>
      <sz val="12"/>
      <color rgb="FF000000"/>
      <name val="Times New Roman"/>
    </font>
    <font>
      <sz val="12"/>
      <color rgb="FF000000"/>
      <name val="Times New Roman"/>
    </font>
    <font>
      <sz val="11"/>
      <color rgb="FF000000"/>
      <name val="Times New Roman"/>
    </font>
    <font>
      <u/>
      <sz val="14"/>
      <color rgb="FF000000"/>
      <name val="Times New Roman"/>
    </font>
    <font>
      <b/>
      <sz val="14"/>
      <color rgb="FF000000"/>
      <name val="Times New Roman"/>
    </font>
    <font>
      <strike/>
      <sz val="14"/>
      <color theme="1"/>
      <name val="Times New Roman"/>
    </font>
    <font>
      <b/>
      <sz val="11"/>
      <color rgb="FF000000"/>
      <name val="Times New Roman"/>
    </font>
  </fonts>
  <fills count="12">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2EFDA"/>
        <bgColor indexed="64"/>
      </patternFill>
    </fill>
    <fill>
      <patternFill patternType="solid">
        <fgColor rgb="FFFCE4D6"/>
        <bgColor indexed="64"/>
      </patternFill>
    </fill>
    <fill>
      <patternFill patternType="solid">
        <fgColor rgb="FFD9E1F2"/>
        <bgColor indexed="64"/>
      </patternFill>
    </fill>
    <fill>
      <patternFill patternType="solid">
        <fgColor rgb="FFE7E6E6"/>
        <bgColor indexed="64"/>
      </patternFill>
    </fill>
    <fill>
      <patternFill patternType="solid">
        <fgColor rgb="FF00B050"/>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top style="medium">
        <color indexed="64"/>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thin">
        <color indexed="64"/>
      </bottom>
      <diagonal/>
    </border>
    <border>
      <left/>
      <right style="medium">
        <color rgb="FF000000"/>
      </right>
      <top/>
      <bottom style="thin">
        <color indexed="64"/>
      </bottom>
      <diagonal/>
    </border>
    <border>
      <left style="medium">
        <color rgb="FF000000"/>
      </left>
      <right style="thin">
        <color indexed="64"/>
      </right>
      <top style="thin">
        <color indexed="64"/>
      </top>
      <bottom/>
      <diagonal/>
    </border>
    <border>
      <left style="medium">
        <color indexed="64"/>
      </left>
      <right style="medium">
        <color rgb="FF000000"/>
      </right>
      <top style="thin">
        <color indexed="64"/>
      </top>
      <bottom/>
      <diagonal/>
    </border>
    <border>
      <left style="medium">
        <color rgb="FF000000"/>
      </left>
      <right/>
      <top style="thin">
        <color indexed="64"/>
      </top>
      <bottom/>
      <diagonal/>
    </border>
    <border>
      <left style="thin">
        <color rgb="FF000000"/>
      </left>
      <right style="medium">
        <color rgb="FF000000"/>
      </right>
      <top style="thin">
        <color rgb="FF000000"/>
      </top>
      <bottom style="thin">
        <color rgb="FF000000"/>
      </bottom>
      <diagonal/>
    </border>
    <border>
      <left style="medium">
        <color rgb="FF000000"/>
      </left>
      <right/>
      <top/>
      <bottom/>
      <diagonal/>
    </border>
    <border>
      <left/>
      <right style="medium">
        <color rgb="FF000000"/>
      </right>
      <top/>
      <bottom/>
      <diagonal/>
    </border>
    <border>
      <left style="medium">
        <color indexed="64"/>
      </left>
      <right style="medium">
        <color rgb="FF000000"/>
      </right>
      <top style="thin">
        <color indexed="64"/>
      </top>
      <bottom style="thin">
        <color indexed="64"/>
      </bottom>
      <diagonal/>
    </border>
    <border>
      <left style="medium">
        <color indexed="64"/>
      </left>
      <right style="medium">
        <color rgb="FF000000"/>
      </right>
      <top/>
      <bottom/>
      <diagonal/>
    </border>
    <border>
      <left style="medium">
        <color rgb="FF000000"/>
      </left>
      <right/>
      <top style="medium">
        <color indexed="64"/>
      </top>
      <bottom/>
      <diagonal/>
    </border>
    <border>
      <left style="thin">
        <color indexed="64"/>
      </left>
      <right style="medium">
        <color rgb="FF000000"/>
      </right>
      <top style="thin">
        <color indexed="64"/>
      </top>
      <bottom/>
      <diagonal/>
    </border>
    <border>
      <left style="thin">
        <color indexed="64"/>
      </left>
      <right style="medium">
        <color rgb="FF000000"/>
      </right>
      <top/>
      <bottom style="thin">
        <color indexed="64"/>
      </bottom>
      <diagonal/>
    </border>
    <border>
      <left style="medium">
        <color rgb="FF000000"/>
      </left>
      <right/>
      <top/>
      <bottom style="medium">
        <color indexed="64"/>
      </bottom>
      <diagonal/>
    </border>
    <border>
      <left style="thin">
        <color indexed="64"/>
      </left>
      <right style="medium">
        <color rgb="FF000000"/>
      </right>
      <top style="thin">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indexed="64"/>
      </top>
      <bottom style="thin">
        <color rgb="FF000000"/>
      </bottom>
      <diagonal/>
    </border>
    <border>
      <left/>
      <right/>
      <top style="thin">
        <color indexed="64"/>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indexed="64"/>
      </top>
      <bottom/>
      <diagonal/>
    </border>
    <border>
      <left style="thin">
        <color rgb="FF000000"/>
      </left>
      <right/>
      <top/>
      <bottom/>
      <diagonal/>
    </border>
  </borders>
  <cellStyleXfs count="2">
    <xf numFmtId="0" fontId="0" fillId="0" borderId="0"/>
    <xf numFmtId="41" fontId="6" fillId="0" borderId="0" applyFont="0" applyFill="0" applyBorder="0" applyAlignment="0" applyProtection="0"/>
  </cellStyleXfs>
  <cellXfs count="496">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textRotation="90" wrapText="1"/>
    </xf>
    <xf numFmtId="0" fontId="3" fillId="2" borderId="30"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31"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30" xfId="0" applyFont="1" applyFill="1" applyBorder="1" applyAlignment="1">
      <alignment horizontal="center" vertical="center"/>
    </xf>
    <xf numFmtId="0" fontId="2" fillId="0" borderId="18" xfId="0" applyFont="1" applyBorder="1" applyAlignment="1">
      <alignment horizontal="center" vertical="center"/>
    </xf>
    <xf numFmtId="0" fontId="2" fillId="0" borderId="16" xfId="0" applyFont="1" applyBorder="1" applyAlignment="1">
      <alignment horizontal="center" vertical="center" textRotation="90"/>
    </xf>
    <xf numFmtId="0" fontId="2" fillId="0" borderId="16" xfId="0" applyFont="1" applyBorder="1" applyAlignment="1">
      <alignment horizontal="center" vertical="center" textRotation="90" wrapText="1"/>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3" xfId="0" applyFont="1" applyFill="1" applyBorder="1"/>
    <xf numFmtId="0" fontId="2" fillId="2" borderId="7" xfId="0" applyFont="1" applyFill="1" applyBorder="1"/>
    <xf numFmtId="0" fontId="2" fillId="0" borderId="1" xfId="0" applyFont="1" applyBorder="1" applyAlignment="1">
      <alignment horizontal="justify" vertical="center" wrapText="1"/>
    </xf>
    <xf numFmtId="0" fontId="1" fillId="2" borderId="5" xfId="0" applyFont="1" applyFill="1" applyBorder="1" applyAlignment="1">
      <alignment horizontal="center" vertical="center"/>
    </xf>
    <xf numFmtId="0" fontId="2" fillId="0" borderId="36" xfId="0" applyFont="1" applyBorder="1" applyAlignment="1">
      <alignment horizontal="center" vertical="center"/>
    </xf>
    <xf numFmtId="0" fontId="2" fillId="0" borderId="6" xfId="0" applyFont="1" applyBorder="1" applyAlignment="1">
      <alignment horizontal="center" vertical="center" textRotation="90"/>
    </xf>
    <xf numFmtId="0" fontId="2" fillId="0" borderId="6" xfId="0" applyFont="1" applyBorder="1" applyAlignment="1">
      <alignment horizontal="center" vertical="center" textRotation="90" wrapText="1"/>
    </xf>
    <xf numFmtId="0" fontId="2" fillId="0" borderId="21" xfId="0" applyFont="1" applyBorder="1" applyAlignment="1">
      <alignment horizontal="left"/>
    </xf>
    <xf numFmtId="0" fontId="2" fillId="0" borderId="10" xfId="0" applyFont="1" applyBorder="1" applyAlignment="1">
      <alignment horizontal="center" vertical="center" textRotation="90"/>
    </xf>
    <xf numFmtId="0" fontId="2" fillId="0" borderId="29" xfId="0" applyFont="1" applyBorder="1" applyAlignment="1">
      <alignment horizontal="left"/>
    </xf>
    <xf numFmtId="0" fontId="2" fillId="2" borderId="31" xfId="0" applyFont="1" applyFill="1" applyBorder="1" applyAlignment="1">
      <alignment horizontal="center" vertical="center" wrapText="1"/>
    </xf>
    <xf numFmtId="0" fontId="11" fillId="0" borderId="0" xfId="0" applyFont="1"/>
    <xf numFmtId="0" fontId="4" fillId="0" borderId="0" xfId="0" applyFont="1"/>
    <xf numFmtId="0" fontId="11" fillId="2" borderId="30" xfId="0" applyFont="1" applyFill="1" applyBorder="1" applyAlignment="1">
      <alignment horizontal="center" vertical="center" wrapText="1"/>
    </xf>
    <xf numFmtId="0" fontId="11" fillId="2" borderId="4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0" borderId="30" xfId="0" applyFont="1" applyBorder="1" applyAlignment="1">
      <alignment horizontal="center" vertical="center"/>
    </xf>
    <xf numFmtId="0" fontId="2" fillId="0" borderId="5" xfId="0" applyFont="1" applyBorder="1" applyAlignment="1">
      <alignment horizontal="center" vertical="center" textRotation="90"/>
    </xf>
    <xf numFmtId="0" fontId="2" fillId="0" borderId="5" xfId="0" applyFont="1" applyBorder="1" applyAlignment="1">
      <alignment horizontal="center" vertical="center" textRotation="90" wrapText="1"/>
    </xf>
    <xf numFmtId="0" fontId="2" fillId="4" borderId="10"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6" xfId="0" applyFont="1" applyFill="1" applyBorder="1" applyAlignment="1">
      <alignment horizontal="center" vertical="center"/>
    </xf>
    <xf numFmtId="9" fontId="9" fillId="4" borderId="10" xfId="0" applyNumberFormat="1" applyFont="1" applyFill="1" applyBorder="1" applyAlignment="1">
      <alignment horizontal="center" vertical="center"/>
    </xf>
    <xf numFmtId="9" fontId="9" fillId="4" borderId="1" xfId="0" applyNumberFormat="1" applyFont="1" applyFill="1" applyBorder="1" applyAlignment="1">
      <alignment horizontal="center" vertical="center"/>
    </xf>
    <xf numFmtId="9" fontId="9" fillId="4" borderId="16" xfId="0" applyNumberFormat="1" applyFont="1" applyFill="1" applyBorder="1" applyAlignment="1">
      <alignment horizontal="center" vertical="center"/>
    </xf>
    <xf numFmtId="9" fontId="9" fillId="4" borderId="6" xfId="0" applyNumberFormat="1" applyFont="1" applyFill="1" applyBorder="1" applyAlignment="1">
      <alignment horizontal="center" vertical="center"/>
    </xf>
    <xf numFmtId="9" fontId="2" fillId="4" borderId="10" xfId="0" applyNumberFormat="1" applyFont="1" applyFill="1" applyBorder="1" applyAlignment="1">
      <alignment horizontal="center" vertical="center"/>
    </xf>
    <xf numFmtId="0" fontId="2" fillId="4" borderId="10" xfId="0" applyFont="1" applyFill="1" applyBorder="1" applyAlignment="1">
      <alignment horizontal="center" vertical="center" textRotation="90"/>
    </xf>
    <xf numFmtId="164" fontId="2" fillId="4" borderId="10" xfId="0" applyNumberFormat="1" applyFont="1" applyFill="1" applyBorder="1" applyAlignment="1">
      <alignment horizontal="center" vertical="center"/>
    </xf>
    <xf numFmtId="0" fontId="3" fillId="4" borderId="10" xfId="0" applyFont="1" applyFill="1" applyBorder="1" applyAlignment="1">
      <alignment horizontal="center" vertical="center" textRotation="90"/>
    </xf>
    <xf numFmtId="9" fontId="2" fillId="4" borderId="10" xfId="0" applyNumberFormat="1" applyFont="1" applyFill="1" applyBorder="1" applyAlignment="1">
      <alignment horizontal="center" vertical="center" textRotation="90"/>
    </xf>
    <xf numFmtId="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textRotation="90"/>
    </xf>
    <xf numFmtId="164" fontId="2" fillId="4" borderId="1" xfId="0" applyNumberFormat="1" applyFont="1" applyFill="1" applyBorder="1" applyAlignment="1">
      <alignment horizontal="center" vertical="center"/>
    </xf>
    <xf numFmtId="0" fontId="3" fillId="4" borderId="1" xfId="0" applyFont="1" applyFill="1" applyBorder="1" applyAlignment="1">
      <alignment horizontal="center" vertical="center" textRotation="90"/>
    </xf>
    <xf numFmtId="9" fontId="2" fillId="4" borderId="1" xfId="0" applyNumberFormat="1" applyFont="1" applyFill="1" applyBorder="1" applyAlignment="1">
      <alignment horizontal="center" vertical="center" textRotation="90"/>
    </xf>
    <xf numFmtId="9" fontId="2" fillId="4" borderId="16" xfId="0" applyNumberFormat="1" applyFont="1" applyFill="1" applyBorder="1" applyAlignment="1">
      <alignment horizontal="center" vertical="center"/>
    </xf>
    <xf numFmtId="0" fontId="2" fillId="4" borderId="16" xfId="0" applyFont="1" applyFill="1" applyBorder="1" applyAlignment="1">
      <alignment horizontal="center" vertical="center" textRotation="90"/>
    </xf>
    <xf numFmtId="164" fontId="2" fillId="4" borderId="16" xfId="0" applyNumberFormat="1" applyFont="1" applyFill="1" applyBorder="1" applyAlignment="1">
      <alignment horizontal="center" vertical="center"/>
    </xf>
    <xf numFmtId="0" fontId="3" fillId="4" borderId="16" xfId="0" applyFont="1" applyFill="1" applyBorder="1" applyAlignment="1">
      <alignment horizontal="center" vertical="center" textRotation="90"/>
    </xf>
    <xf numFmtId="9" fontId="2" fillId="4" borderId="16" xfId="0" applyNumberFormat="1" applyFont="1" applyFill="1" applyBorder="1" applyAlignment="1">
      <alignment horizontal="center" vertical="center" textRotation="90"/>
    </xf>
    <xf numFmtId="9" fontId="2" fillId="4" borderId="6" xfId="0" applyNumberFormat="1" applyFont="1" applyFill="1" applyBorder="1" applyAlignment="1">
      <alignment horizontal="center" vertical="center"/>
    </xf>
    <xf numFmtId="0" fontId="2" fillId="4" borderId="6" xfId="0" applyFont="1" applyFill="1" applyBorder="1" applyAlignment="1">
      <alignment horizontal="center" vertical="center" textRotation="90"/>
    </xf>
    <xf numFmtId="164" fontId="2" fillId="4" borderId="6" xfId="0" applyNumberFormat="1" applyFont="1" applyFill="1" applyBorder="1" applyAlignment="1">
      <alignment horizontal="center" vertical="center"/>
    </xf>
    <xf numFmtId="0" fontId="3" fillId="4" borderId="6" xfId="0" applyFont="1" applyFill="1" applyBorder="1" applyAlignment="1">
      <alignment horizontal="center" vertical="center" textRotation="90"/>
    </xf>
    <xf numFmtId="9" fontId="2" fillId="4" borderId="6" xfId="0" applyNumberFormat="1" applyFont="1" applyFill="1" applyBorder="1" applyAlignment="1">
      <alignment horizontal="center" vertical="center" textRotation="90"/>
    </xf>
    <xf numFmtId="0" fontId="2" fillId="4" borderId="10" xfId="0" applyFont="1" applyFill="1" applyBorder="1" applyAlignment="1">
      <alignment vertical="center" textRotation="90"/>
    </xf>
    <xf numFmtId="0" fontId="2" fillId="4" borderId="1" xfId="0" applyFont="1" applyFill="1" applyBorder="1" applyAlignment="1">
      <alignment vertical="center" textRotation="90"/>
    </xf>
    <xf numFmtId="0" fontId="2" fillId="4" borderId="16" xfId="0" applyFont="1" applyFill="1" applyBorder="1" applyAlignment="1">
      <alignment vertical="center" textRotation="90"/>
    </xf>
    <xf numFmtId="0" fontId="2" fillId="4" borderId="6" xfId="0" applyFont="1" applyFill="1" applyBorder="1" applyAlignment="1">
      <alignment vertical="center" textRotation="90"/>
    </xf>
    <xf numFmtId="0" fontId="0" fillId="0" borderId="29" xfId="0" applyBorder="1"/>
    <xf numFmtId="0" fontId="2" fillId="0" borderId="35" xfId="0" applyFont="1" applyBorder="1" applyAlignment="1">
      <alignment horizontal="center" vertical="center"/>
    </xf>
    <xf numFmtId="0" fontId="2" fillId="0" borderId="10" xfId="0" applyFont="1" applyBorder="1" applyAlignment="1">
      <alignment horizontal="center" vertical="center" textRotation="90" wrapText="1"/>
    </xf>
    <xf numFmtId="9" fontId="9" fillId="4" borderId="41" xfId="0" applyNumberFormat="1" applyFont="1" applyFill="1" applyBorder="1" applyAlignment="1">
      <alignment horizontal="center" vertical="center"/>
    </xf>
    <xf numFmtId="0" fontId="0" fillId="0" borderId="21" xfId="0" applyBorder="1"/>
    <xf numFmtId="0" fontId="2" fillId="5" borderId="10" xfId="0" applyFont="1" applyFill="1" applyBorder="1" applyAlignment="1">
      <alignment horizontal="center" vertical="center" textRotation="90" wrapText="1"/>
    </xf>
    <xf numFmtId="0" fontId="2" fillId="0" borderId="6" xfId="0" applyFont="1" applyBorder="1" applyAlignment="1">
      <alignment horizontal="center" vertical="center" wrapText="1"/>
    </xf>
    <xf numFmtId="14" fontId="2" fillId="0" borderId="6" xfId="0" applyNumberFormat="1" applyFont="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center" wrapText="1"/>
    </xf>
    <xf numFmtId="0" fontId="0" fillId="0" borderId="0" xfId="0" applyAlignment="1">
      <alignment horizontal="center" vertical="center" wrapText="1"/>
    </xf>
    <xf numFmtId="0" fontId="2" fillId="0" borderId="5" xfId="0" applyFont="1" applyBorder="1" applyAlignment="1">
      <alignment vertical="center" wrapText="1"/>
    </xf>
    <xf numFmtId="0" fontId="17" fillId="6" borderId="43" xfId="0" applyFont="1" applyFill="1" applyBorder="1" applyAlignment="1">
      <alignment horizontal="center" vertical="center" wrapText="1"/>
    </xf>
    <xf numFmtId="0" fontId="17" fillId="0" borderId="43" xfId="0" applyFont="1" applyBorder="1" applyAlignment="1">
      <alignment horizontal="center" vertical="center" wrapText="1"/>
    </xf>
    <xf numFmtId="0" fontId="2" fillId="3" borderId="16" xfId="0" applyFont="1" applyFill="1" applyBorder="1" applyAlignment="1">
      <alignment horizontal="center" vertical="center" textRotation="90" wrapText="1"/>
    </xf>
    <xf numFmtId="0" fontId="2" fillId="3" borderId="6" xfId="0" applyFont="1" applyFill="1" applyBorder="1" applyAlignment="1">
      <alignment horizontal="center" vertical="center" textRotation="90" wrapText="1"/>
    </xf>
    <xf numFmtId="0" fontId="2" fillId="3" borderId="1" xfId="0" applyFont="1" applyFill="1" applyBorder="1" applyAlignment="1">
      <alignment horizontal="center" vertical="center" textRotation="90" wrapText="1"/>
    </xf>
    <xf numFmtId="0" fontId="16" fillId="0" borderId="24" xfId="0" applyFont="1" applyBorder="1" applyAlignment="1">
      <alignment horizontal="left" vertical="center" wrapText="1"/>
    </xf>
    <xf numFmtId="0" fontId="16" fillId="0" borderId="26" xfId="0" applyFont="1" applyBorder="1" applyAlignment="1">
      <alignment horizontal="left" vertical="center" wrapText="1"/>
    </xf>
    <xf numFmtId="0" fontId="16" fillId="0" borderId="51" xfId="0" applyFont="1" applyBorder="1" applyAlignment="1">
      <alignment horizontal="left" vertical="center" wrapText="1"/>
    </xf>
    <xf numFmtId="0" fontId="16" fillId="0" borderId="52" xfId="0" applyFont="1" applyBorder="1" applyAlignment="1">
      <alignment horizontal="left" vertical="center" wrapText="1"/>
    </xf>
    <xf numFmtId="0" fontId="22" fillId="0" borderId="0" xfId="0" applyFont="1" applyAlignment="1">
      <alignment horizontal="left"/>
    </xf>
    <xf numFmtId="0" fontId="22" fillId="0" borderId="36" xfId="0" applyFont="1" applyBorder="1" applyAlignment="1">
      <alignment horizontal="center" vertical="center"/>
    </xf>
    <xf numFmtId="0" fontId="22" fillId="4" borderId="6" xfId="0" applyFont="1" applyFill="1" applyBorder="1" applyAlignment="1">
      <alignment horizontal="center" vertical="center"/>
    </xf>
    <xf numFmtId="0" fontId="22" fillId="0" borderId="6" xfId="0" applyFont="1" applyBorder="1" applyAlignment="1">
      <alignment horizontal="center" vertical="center" textRotation="90"/>
    </xf>
    <xf numFmtId="9" fontId="25" fillId="4" borderId="6" xfId="0" applyNumberFormat="1" applyFont="1" applyFill="1" applyBorder="1" applyAlignment="1">
      <alignment horizontal="center" vertical="center"/>
    </xf>
    <xf numFmtId="0" fontId="22" fillId="0" borderId="6" xfId="0" applyFont="1" applyBorder="1" applyAlignment="1">
      <alignment horizontal="center" vertical="center" textRotation="90" wrapText="1"/>
    </xf>
    <xf numFmtId="9" fontId="22" fillId="4" borderId="6" xfId="0" applyNumberFormat="1" applyFont="1" applyFill="1" applyBorder="1" applyAlignment="1">
      <alignment horizontal="center" vertical="center"/>
    </xf>
    <xf numFmtId="0" fontId="22" fillId="4" borderId="6" xfId="0" applyFont="1" applyFill="1" applyBorder="1" applyAlignment="1">
      <alignment horizontal="center" vertical="center" textRotation="90"/>
    </xf>
    <xf numFmtId="0" fontId="20" fillId="4" borderId="6" xfId="0" applyFont="1" applyFill="1" applyBorder="1" applyAlignment="1">
      <alignment horizontal="center" vertical="center" textRotation="90"/>
    </xf>
    <xf numFmtId="9" fontId="22" fillId="4" borderId="6" xfId="0" applyNumberFormat="1" applyFont="1" applyFill="1" applyBorder="1" applyAlignment="1">
      <alignment horizontal="center" vertical="center" textRotation="90"/>
    </xf>
    <xf numFmtId="0" fontId="22" fillId="4" borderId="6" xfId="0" applyFont="1" applyFill="1" applyBorder="1" applyAlignment="1">
      <alignment vertical="center" textRotation="90"/>
    </xf>
    <xf numFmtId="0" fontId="22" fillId="0" borderId="1" xfId="0" applyFont="1" applyBorder="1" applyAlignment="1">
      <alignment horizontal="center" vertical="center" textRotation="90"/>
    </xf>
    <xf numFmtId="9" fontId="22" fillId="4" borderId="1" xfId="0" applyNumberFormat="1" applyFont="1" applyFill="1" applyBorder="1" applyAlignment="1">
      <alignment horizontal="center" vertical="center"/>
    </xf>
    <xf numFmtId="0" fontId="22" fillId="4" borderId="1" xfId="0" applyFont="1" applyFill="1" applyBorder="1" applyAlignment="1">
      <alignment horizontal="center" vertical="center" textRotation="90"/>
    </xf>
    <xf numFmtId="164" fontId="22" fillId="4" borderId="1" xfId="0" applyNumberFormat="1" applyFont="1" applyFill="1" applyBorder="1" applyAlignment="1">
      <alignment horizontal="center" vertical="center"/>
    </xf>
    <xf numFmtId="0" fontId="20" fillId="4" borderId="1" xfId="0" applyFont="1" applyFill="1" applyBorder="1" applyAlignment="1">
      <alignment horizontal="center" vertical="center" textRotation="90"/>
    </xf>
    <xf numFmtId="9" fontId="22" fillId="4" borderId="1" xfId="0" applyNumberFormat="1" applyFont="1" applyFill="1" applyBorder="1" applyAlignment="1">
      <alignment horizontal="center" vertical="center" textRotation="90"/>
    </xf>
    <xf numFmtId="0" fontId="22" fillId="4" borderId="1" xfId="0" applyFont="1" applyFill="1" applyBorder="1" applyAlignment="1">
      <alignment vertical="center" textRotation="90"/>
    </xf>
    <xf numFmtId="0" fontId="22" fillId="0" borderId="35" xfId="0" applyFont="1" applyBorder="1" applyAlignment="1">
      <alignment horizontal="center" vertical="center"/>
    </xf>
    <xf numFmtId="0" fontId="22" fillId="0" borderId="32" xfId="0" applyFont="1" applyBorder="1" applyAlignment="1">
      <alignment horizontal="center" vertical="center" textRotation="90"/>
    </xf>
    <xf numFmtId="0" fontId="22" fillId="0" borderId="32" xfId="0" applyFont="1" applyBorder="1" applyAlignment="1">
      <alignment horizontal="center" vertical="center" textRotation="90" wrapText="1"/>
    </xf>
    <xf numFmtId="0" fontId="22" fillId="0" borderId="29" xfId="0" applyFont="1" applyBorder="1" applyAlignment="1">
      <alignment horizontal="left"/>
    </xf>
    <xf numFmtId="0" fontId="22" fillId="0" borderId="15" xfId="0" applyFont="1" applyBorder="1" applyAlignment="1">
      <alignment horizontal="center" vertical="center"/>
    </xf>
    <xf numFmtId="0" fontId="22" fillId="0" borderId="16" xfId="0" applyFont="1" applyBorder="1" applyAlignment="1">
      <alignment horizontal="center" vertical="center" textRotation="90"/>
    </xf>
    <xf numFmtId="9" fontId="25" fillId="4" borderId="16" xfId="0" applyNumberFormat="1" applyFont="1" applyFill="1" applyBorder="1" applyAlignment="1">
      <alignment horizontal="center" vertical="center"/>
    </xf>
    <xf numFmtId="0" fontId="22" fillId="5" borderId="16" xfId="0" applyFont="1" applyFill="1" applyBorder="1" applyAlignment="1">
      <alignment horizontal="center" vertical="center" textRotation="90" wrapText="1"/>
    </xf>
    <xf numFmtId="0" fontId="22" fillId="0" borderId="16" xfId="0" applyFont="1" applyBorder="1" applyAlignment="1">
      <alignment horizontal="center" vertical="center" textRotation="90" wrapText="1"/>
    </xf>
    <xf numFmtId="9" fontId="22" fillId="4" borderId="5" xfId="0" applyNumberFormat="1" applyFont="1" applyFill="1" applyBorder="1" applyAlignment="1">
      <alignment horizontal="center" vertical="center"/>
    </xf>
    <xf numFmtId="0" fontId="22" fillId="4" borderId="5" xfId="0" applyFont="1" applyFill="1" applyBorder="1" applyAlignment="1">
      <alignment horizontal="center" vertical="center" textRotation="90"/>
    </xf>
    <xf numFmtId="164" fontId="22" fillId="4" borderId="16" xfId="0" applyNumberFormat="1" applyFont="1" applyFill="1" applyBorder="1" applyAlignment="1">
      <alignment horizontal="center" vertical="center"/>
    </xf>
    <xf numFmtId="0" fontId="20" fillId="4" borderId="16" xfId="0" applyFont="1" applyFill="1" applyBorder="1" applyAlignment="1">
      <alignment horizontal="center" vertical="center" textRotation="90"/>
    </xf>
    <xf numFmtId="9" fontId="22" fillId="4" borderId="16" xfId="0" applyNumberFormat="1" applyFont="1" applyFill="1" applyBorder="1" applyAlignment="1">
      <alignment horizontal="center" vertical="center"/>
    </xf>
    <xf numFmtId="9" fontId="22" fillId="4" borderId="16" xfId="0" applyNumberFormat="1" applyFont="1" applyFill="1" applyBorder="1" applyAlignment="1">
      <alignment horizontal="center" vertical="center" textRotation="90"/>
    </xf>
    <xf numFmtId="0" fontId="22" fillId="4" borderId="16" xfId="0" applyFont="1" applyFill="1" applyBorder="1" applyAlignment="1">
      <alignment vertical="center" textRotation="90"/>
    </xf>
    <xf numFmtId="0" fontId="2" fillId="3" borderId="10" xfId="0" applyFont="1" applyFill="1" applyBorder="1" applyAlignment="1">
      <alignment horizontal="center" vertical="center" textRotation="90" wrapText="1"/>
    </xf>
    <xf numFmtId="14" fontId="2" fillId="0" borderId="5" xfId="0" applyNumberFormat="1" applyFont="1" applyBorder="1" applyAlignment="1">
      <alignment vertical="center" wrapText="1"/>
    </xf>
    <xf numFmtId="0" fontId="22" fillId="0" borderId="21" xfId="0" applyFont="1" applyBorder="1" applyAlignment="1">
      <alignment horizontal="left"/>
    </xf>
    <xf numFmtId="0" fontId="22" fillId="4" borderId="10" xfId="0" applyFont="1" applyFill="1" applyBorder="1" applyAlignment="1">
      <alignment horizontal="center" vertical="center"/>
    </xf>
    <xf numFmtId="0" fontId="22" fillId="0" borderId="10" xfId="0" applyFont="1" applyBorder="1" applyAlignment="1">
      <alignment horizontal="center" vertical="center" textRotation="90"/>
    </xf>
    <xf numFmtId="9" fontId="25" fillId="4" borderId="10" xfId="0" applyNumberFormat="1" applyFont="1" applyFill="1" applyBorder="1" applyAlignment="1">
      <alignment horizontal="center" vertical="center"/>
    </xf>
    <xf numFmtId="0" fontId="22" fillId="3" borderId="10" xfId="0" applyFont="1" applyFill="1" applyBorder="1" applyAlignment="1">
      <alignment horizontal="center" vertical="center" textRotation="90" wrapText="1"/>
    </xf>
    <xf numFmtId="0" fontId="22" fillId="0" borderId="10" xfId="0" applyFont="1" applyBorder="1" applyAlignment="1">
      <alignment horizontal="center" vertical="center" textRotation="90" wrapText="1"/>
    </xf>
    <xf numFmtId="9" fontId="22" fillId="4" borderId="10" xfId="0" applyNumberFormat="1" applyFont="1" applyFill="1" applyBorder="1" applyAlignment="1">
      <alignment horizontal="center" vertical="center"/>
    </xf>
    <xf numFmtId="0" fontId="22" fillId="4" borderId="10" xfId="0" applyFont="1" applyFill="1" applyBorder="1" applyAlignment="1">
      <alignment horizontal="center" vertical="center" textRotation="90"/>
    </xf>
    <xf numFmtId="164" fontId="22" fillId="4" borderId="10" xfId="0" applyNumberFormat="1" applyFont="1" applyFill="1" applyBorder="1" applyAlignment="1">
      <alignment horizontal="center" vertical="center"/>
    </xf>
    <xf numFmtId="0" fontId="20" fillId="4" borderId="10" xfId="0" applyFont="1" applyFill="1" applyBorder="1" applyAlignment="1">
      <alignment horizontal="center" vertical="center" textRotation="90"/>
    </xf>
    <xf numFmtId="9" fontId="22" fillId="4" borderId="10" xfId="0" applyNumberFormat="1" applyFont="1" applyFill="1" applyBorder="1" applyAlignment="1">
      <alignment horizontal="center" vertical="center" textRotation="90"/>
    </xf>
    <xf numFmtId="0" fontId="22" fillId="4" borderId="10" xfId="0" applyFont="1" applyFill="1" applyBorder="1" applyAlignment="1">
      <alignment vertical="center" textRotation="90"/>
    </xf>
    <xf numFmtId="0" fontId="30" fillId="0" borderId="21" xfId="0" applyFont="1" applyBorder="1"/>
    <xf numFmtId="0" fontId="22" fillId="0" borderId="30" xfId="0" applyFont="1" applyBorder="1" applyAlignment="1">
      <alignment horizontal="center" vertical="center"/>
    </xf>
    <xf numFmtId="0" fontId="22" fillId="4" borderId="1" xfId="0" applyFont="1" applyFill="1" applyBorder="1" applyAlignment="1">
      <alignment horizontal="center" vertical="center"/>
    </xf>
    <xf numFmtId="0" fontId="22" fillId="0" borderId="5" xfId="0" applyFont="1" applyBorder="1" applyAlignment="1">
      <alignment horizontal="center" vertical="center" textRotation="90"/>
    </xf>
    <xf numFmtId="9" fontId="25" fillId="4" borderId="1" xfId="0" applyNumberFormat="1" applyFont="1" applyFill="1" applyBorder="1" applyAlignment="1">
      <alignment horizontal="center" vertical="center"/>
    </xf>
    <xf numFmtId="0" fontId="22" fillId="0" borderId="5" xfId="0" applyFont="1" applyBorder="1" applyAlignment="1">
      <alignment horizontal="center" vertical="center" textRotation="90" wrapText="1"/>
    </xf>
    <xf numFmtId="0" fontId="30" fillId="0" borderId="0" xfId="0" applyFont="1"/>
    <xf numFmtId="0" fontId="25" fillId="3" borderId="5" xfId="0" applyFont="1" applyFill="1" applyBorder="1" applyAlignment="1">
      <alignment horizontal="center" vertical="center" textRotation="90" wrapText="1"/>
    </xf>
    <xf numFmtId="0" fontId="22" fillId="4" borderId="16" xfId="0" applyFont="1" applyFill="1" applyBorder="1" applyAlignment="1">
      <alignment horizontal="center" vertical="center"/>
    </xf>
    <xf numFmtId="0" fontId="22" fillId="4" borderId="16" xfId="0" applyFont="1" applyFill="1" applyBorder="1" applyAlignment="1">
      <alignment horizontal="center" vertical="center" textRotation="90"/>
    </xf>
    <xf numFmtId="0" fontId="30" fillId="0" borderId="29" xfId="0" applyFont="1" applyBorder="1"/>
    <xf numFmtId="0" fontId="23" fillId="9" borderId="6" xfId="0" applyFont="1" applyFill="1" applyBorder="1" applyAlignment="1">
      <alignment horizontal="justify" vertical="center" wrapText="1"/>
    </xf>
    <xf numFmtId="0" fontId="22" fillId="9" borderId="16" xfId="0" applyFont="1" applyFill="1" applyBorder="1" applyAlignment="1">
      <alignment horizontal="justify" vertical="center" wrapText="1"/>
    </xf>
    <xf numFmtId="0" fontId="23" fillId="9" borderId="16" xfId="0" applyFont="1" applyFill="1" applyBorder="1" applyAlignment="1">
      <alignment horizontal="justify" vertical="center" wrapText="1"/>
    </xf>
    <xf numFmtId="0" fontId="14" fillId="9" borderId="6" xfId="0" applyFont="1" applyFill="1" applyBorder="1" applyAlignment="1">
      <alignment horizontal="justify" vertical="center" wrapText="1"/>
    </xf>
    <xf numFmtId="0" fontId="14" fillId="9" borderId="1" xfId="0" applyFont="1" applyFill="1" applyBorder="1" applyAlignment="1">
      <alignment horizontal="justify" vertical="center" wrapText="1"/>
    </xf>
    <xf numFmtId="0" fontId="22" fillId="9" borderId="10" xfId="0" applyFont="1" applyFill="1" applyBorder="1" applyAlignment="1">
      <alignment horizontal="justify" vertical="center" wrapText="1"/>
    </xf>
    <xf numFmtId="0" fontId="23" fillId="9" borderId="5" xfId="0" applyFont="1" applyFill="1" applyBorder="1" applyAlignment="1">
      <alignment horizontal="justify" vertical="center" wrapText="1"/>
    </xf>
    <xf numFmtId="0" fontId="23" fillId="9" borderId="1" xfId="0" applyFont="1" applyFill="1" applyBorder="1" applyAlignment="1">
      <alignment horizontal="left" vertical="center" wrapText="1"/>
    </xf>
    <xf numFmtId="0" fontId="2" fillId="0" borderId="49" xfId="0" applyFont="1" applyBorder="1" applyAlignment="1">
      <alignment horizontal="center" vertical="center"/>
    </xf>
    <xf numFmtId="0" fontId="2" fillId="10" borderId="5" xfId="0" applyFont="1" applyFill="1" applyBorder="1" applyAlignment="1">
      <alignment horizontal="center" vertical="center" textRotation="90" wrapText="1"/>
    </xf>
    <xf numFmtId="0" fontId="2" fillId="10" borderId="16" xfId="0" applyFont="1" applyFill="1" applyBorder="1" applyAlignment="1">
      <alignment horizontal="center" vertical="center" textRotation="90" wrapText="1"/>
    </xf>
    <xf numFmtId="0" fontId="22" fillId="10" borderId="6" xfId="0" applyFont="1" applyFill="1" applyBorder="1" applyAlignment="1">
      <alignment horizontal="center" vertical="center" textRotation="90" wrapText="1"/>
    </xf>
    <xf numFmtId="0" fontId="25" fillId="10" borderId="6" xfId="0" applyFont="1" applyFill="1" applyBorder="1" applyAlignment="1">
      <alignment horizontal="center" vertical="center" textRotation="90" wrapText="1"/>
    </xf>
    <xf numFmtId="0" fontId="22" fillId="10" borderId="32" xfId="0" applyFont="1" applyFill="1" applyBorder="1" applyAlignment="1">
      <alignment horizontal="center" vertical="center" textRotation="90" wrapText="1"/>
    </xf>
    <xf numFmtId="0" fontId="22" fillId="10" borderId="16" xfId="0" applyFont="1" applyFill="1" applyBorder="1" applyAlignment="1">
      <alignment horizontal="center" vertical="center" textRotation="90" wrapText="1"/>
    </xf>
    <xf numFmtId="0" fontId="2" fillId="10" borderId="6" xfId="0" applyFont="1" applyFill="1" applyBorder="1" applyAlignment="1">
      <alignment horizontal="center" vertical="center" textRotation="90" wrapText="1"/>
    </xf>
    <xf numFmtId="0" fontId="2" fillId="10" borderId="10" xfId="0" applyFont="1" applyFill="1" applyBorder="1" applyAlignment="1">
      <alignment horizontal="center" vertical="center" textRotation="90" wrapText="1"/>
    </xf>
    <xf numFmtId="0" fontId="2" fillId="10" borderId="1" xfId="0" applyFont="1" applyFill="1" applyBorder="1" applyAlignment="1">
      <alignment horizontal="center" vertical="center" textRotation="90" wrapText="1"/>
    </xf>
    <xf numFmtId="0" fontId="22" fillId="10" borderId="10" xfId="0" applyFont="1" applyFill="1" applyBorder="1" applyAlignment="1">
      <alignment horizontal="center" vertical="center" textRotation="90" wrapText="1"/>
    </xf>
    <xf numFmtId="0" fontId="22" fillId="10" borderId="5" xfId="0" applyFont="1" applyFill="1" applyBorder="1" applyAlignment="1">
      <alignment horizontal="center" vertical="center" textRotation="90" wrapText="1"/>
    </xf>
    <xf numFmtId="0" fontId="22" fillId="10" borderId="1" xfId="0" applyFont="1" applyFill="1" applyBorder="1" applyAlignment="1">
      <alignment horizontal="center" vertical="center" textRotation="90" wrapText="1"/>
    </xf>
    <xf numFmtId="0" fontId="22" fillId="10" borderId="41" xfId="0" applyFont="1" applyFill="1" applyBorder="1" applyAlignment="1">
      <alignment horizontal="center" vertical="center" textRotation="90" wrapText="1"/>
    </xf>
    <xf numFmtId="0" fontId="11" fillId="2" borderId="62" xfId="0" applyFont="1" applyFill="1" applyBorder="1" applyAlignment="1">
      <alignment horizontal="center" vertical="center" wrapText="1"/>
    </xf>
    <xf numFmtId="0" fontId="11" fillId="2" borderId="63" xfId="0" applyFont="1" applyFill="1" applyBorder="1" applyAlignment="1">
      <alignment horizontal="center" vertical="center" wrapText="1"/>
    </xf>
    <xf numFmtId="0" fontId="15" fillId="0" borderId="53" xfId="0" applyFont="1" applyBorder="1" applyAlignment="1">
      <alignment horizontal="center" vertical="center" wrapText="1"/>
    </xf>
    <xf numFmtId="0" fontId="16" fillId="0" borderId="42" xfId="0" applyFont="1" applyBorder="1" applyAlignment="1">
      <alignment horizontal="center" vertical="center" wrapText="1"/>
    </xf>
    <xf numFmtId="0" fontId="14" fillId="10" borderId="5" xfId="0" applyFont="1" applyFill="1" applyBorder="1" applyAlignment="1">
      <alignment horizontal="center" vertical="center" textRotation="90" wrapText="1"/>
    </xf>
    <xf numFmtId="0" fontId="33" fillId="2" borderId="30" xfId="0" applyFont="1" applyFill="1" applyBorder="1" applyAlignment="1">
      <alignment horizontal="center" vertical="center" wrapText="1"/>
    </xf>
    <xf numFmtId="0" fontId="0" fillId="0" borderId="45" xfId="0" applyBorder="1" applyAlignment="1">
      <alignment vertical="center" wrapText="1"/>
    </xf>
    <xf numFmtId="0" fontId="9" fillId="0" borderId="5" xfId="0" applyFont="1" applyBorder="1" applyAlignment="1">
      <alignment horizontal="center" vertical="center" textRotation="90" wrapText="1"/>
    </xf>
    <xf numFmtId="0" fontId="9" fillId="9" borderId="6" xfId="0" applyFont="1" applyFill="1" applyBorder="1" applyAlignment="1">
      <alignment horizontal="justify" vertical="center" wrapText="1"/>
    </xf>
    <xf numFmtId="0" fontId="9" fillId="0" borderId="16" xfId="0" applyFont="1" applyBorder="1" applyAlignment="1">
      <alignment horizontal="center" vertical="center" textRotation="90" wrapText="1"/>
    </xf>
    <xf numFmtId="0" fontId="37" fillId="3" borderId="5" xfId="0" applyFont="1" applyFill="1" applyBorder="1" applyAlignment="1">
      <alignment horizontal="center" vertical="center" textRotation="90" wrapText="1"/>
    </xf>
    <xf numFmtId="0" fontId="37" fillId="3" borderId="16" xfId="0" applyFont="1" applyFill="1" applyBorder="1" applyAlignment="1">
      <alignment horizontal="center" vertical="center" textRotation="90" wrapText="1"/>
    </xf>
    <xf numFmtId="0" fontId="2" fillId="3" borderId="16" xfId="0" applyFont="1" applyFill="1" applyBorder="1" applyAlignment="1">
      <alignment horizontal="center" vertical="center" textRotation="90"/>
    </xf>
    <xf numFmtId="0" fontId="34" fillId="0" borderId="48" xfId="0" applyFont="1" applyBorder="1" applyAlignment="1" applyProtection="1">
      <alignment vertical="center" wrapText="1"/>
      <protection locked="0"/>
    </xf>
    <xf numFmtId="0" fontId="14" fillId="9" borderId="16" xfId="0" applyFont="1" applyFill="1" applyBorder="1" applyAlignment="1">
      <alignment horizontal="justify" vertical="center" wrapText="1"/>
    </xf>
    <xf numFmtId="0" fontId="14" fillId="9" borderId="5" xfId="0" applyFont="1" applyFill="1" applyBorder="1" applyAlignment="1">
      <alignment horizontal="justify" vertical="center" wrapText="1"/>
    </xf>
    <xf numFmtId="0" fontId="13" fillId="9" borderId="10" xfId="0" applyFont="1" applyFill="1" applyBorder="1" applyAlignment="1">
      <alignment horizontal="justify" vertical="center" wrapText="1"/>
    </xf>
    <xf numFmtId="0" fontId="40" fillId="0" borderId="65" xfId="0" applyFont="1" applyBorder="1" applyAlignment="1">
      <alignment horizontal="center" vertical="center" wrapText="1"/>
    </xf>
    <xf numFmtId="0" fontId="42" fillId="9" borderId="16" xfId="0" applyFont="1" applyFill="1" applyBorder="1" applyAlignment="1">
      <alignment horizontal="justify" vertical="center" wrapText="1"/>
    </xf>
    <xf numFmtId="0" fontId="39" fillId="0" borderId="48" xfId="0" applyFont="1" applyBorder="1" applyAlignment="1" applyProtection="1">
      <alignment horizontal="center" vertical="center" wrapText="1"/>
      <protection locked="0"/>
    </xf>
    <xf numFmtId="0" fontId="39" fillId="0" borderId="48" xfId="0" applyFont="1" applyBorder="1" applyAlignment="1">
      <alignment horizontal="center" vertical="center" wrapText="1"/>
    </xf>
    <xf numFmtId="0" fontId="15" fillId="0" borderId="64" xfId="0" applyFont="1" applyBorder="1" applyAlignment="1">
      <alignment horizontal="center" vertical="center" wrapText="1"/>
    </xf>
    <xf numFmtId="0" fontId="15" fillId="0" borderId="79" xfId="0" applyFont="1" applyBorder="1" applyAlignment="1">
      <alignment horizontal="center" vertical="center" wrapText="1"/>
    </xf>
    <xf numFmtId="0" fontId="42" fillId="9" borderId="5" xfId="0" applyFont="1" applyFill="1" applyBorder="1" applyAlignment="1">
      <alignment horizontal="justify" vertical="center" wrapText="1"/>
    </xf>
    <xf numFmtId="0" fontId="39" fillId="0" borderId="65" xfId="0" applyFont="1" applyBorder="1" applyAlignment="1" applyProtection="1">
      <alignment horizontal="center" vertical="center" wrapText="1"/>
      <protection locked="0"/>
    </xf>
    <xf numFmtId="0" fontId="39" fillId="0" borderId="44" xfId="0" applyFont="1" applyBorder="1" applyAlignment="1" applyProtection="1">
      <alignment horizontal="center" vertical="center" wrapText="1"/>
      <protection locked="0"/>
    </xf>
    <xf numFmtId="0" fontId="38" fillId="0" borderId="48" xfId="0" applyFont="1" applyBorder="1" applyAlignment="1">
      <alignment horizontal="center" vertical="center" wrapText="1"/>
    </xf>
    <xf numFmtId="0" fontId="42" fillId="9" borderId="6" xfId="0" applyFont="1" applyFill="1" applyBorder="1" applyAlignment="1">
      <alignment horizontal="justify" vertical="center" wrapText="1"/>
    </xf>
    <xf numFmtId="0" fontId="42" fillId="9" borderId="1" xfId="0" applyFont="1" applyFill="1" applyBorder="1" applyAlignment="1">
      <alignment horizontal="justify" vertical="center" wrapText="1"/>
    </xf>
    <xf numFmtId="0" fontId="38" fillId="0" borderId="80" xfId="0" applyFont="1" applyBorder="1" applyAlignment="1" applyProtection="1">
      <alignment horizontal="center" vertical="center" wrapText="1"/>
      <protection locked="0"/>
    </xf>
    <xf numFmtId="0" fontId="39" fillId="0" borderId="48" xfId="0" applyFont="1" applyBorder="1" applyAlignment="1">
      <alignment vertical="center" wrapText="1"/>
    </xf>
    <xf numFmtId="0" fontId="38" fillId="5" borderId="48" xfId="0" applyFont="1" applyFill="1" applyBorder="1" applyAlignment="1" applyProtection="1">
      <alignment horizontal="center" vertical="center"/>
      <protection locked="0"/>
    </xf>
    <xf numFmtId="0" fontId="38" fillId="5" borderId="3" xfId="0" applyFont="1" applyFill="1" applyBorder="1" applyAlignment="1" applyProtection="1">
      <alignment horizontal="center" vertical="center" wrapText="1"/>
      <protection locked="0"/>
    </xf>
    <xf numFmtId="0" fontId="38" fillId="5" borderId="65" xfId="0" applyFont="1" applyFill="1" applyBorder="1" applyAlignment="1" applyProtection="1">
      <alignment horizontal="center" vertical="center" wrapText="1"/>
      <protection locked="0"/>
    </xf>
    <xf numFmtId="0" fontId="39" fillId="5" borderId="43" xfId="0" applyFont="1" applyFill="1" applyBorder="1" applyAlignment="1">
      <alignment vertical="center" wrapText="1"/>
    </xf>
    <xf numFmtId="0" fontId="38" fillId="5" borderId="81" xfId="0" applyFont="1" applyFill="1" applyBorder="1" applyAlignment="1" applyProtection="1">
      <alignment horizontal="center" vertical="center" wrapText="1"/>
      <protection locked="0"/>
    </xf>
    <xf numFmtId="0" fontId="38" fillId="5" borderId="2" xfId="0" applyFont="1" applyFill="1" applyBorder="1" applyAlignment="1" applyProtection="1">
      <alignment horizontal="center" vertical="center" wrapText="1"/>
      <protection locked="0"/>
    </xf>
    <xf numFmtId="0" fontId="38" fillId="5" borderId="48" xfId="0" applyFont="1" applyFill="1" applyBorder="1" applyAlignment="1">
      <alignment horizontal="left" vertical="center" wrapText="1"/>
    </xf>
    <xf numFmtId="0" fontId="39" fillId="0" borderId="48" xfId="0" applyFont="1" applyBorder="1" applyAlignment="1" applyProtection="1">
      <alignment horizontal="left" vertical="center" wrapText="1"/>
      <protection locked="0"/>
    </xf>
    <xf numFmtId="0" fontId="38" fillId="0" borderId="48" xfId="0" applyFont="1" applyBorder="1" applyAlignment="1" applyProtection="1">
      <alignment horizontal="center" vertical="center" wrapText="1"/>
      <protection locked="0"/>
    </xf>
    <xf numFmtId="0" fontId="38" fillId="0" borderId="3" xfId="0" applyFont="1" applyBorder="1" applyAlignment="1" applyProtection="1">
      <alignment horizontal="center" vertical="center" wrapText="1"/>
      <protection locked="0"/>
    </xf>
    <xf numFmtId="0" fontId="38" fillId="0" borderId="65" xfId="0" applyFont="1" applyBorder="1" applyAlignment="1" applyProtection="1">
      <alignment horizontal="center" vertical="center" wrapText="1"/>
      <protection locked="0"/>
    </xf>
    <xf numFmtId="0" fontId="38" fillId="0" borderId="48" xfId="0" applyFont="1" applyBorder="1" applyAlignment="1" applyProtection="1">
      <alignment horizontal="left" vertical="center" wrapText="1"/>
      <protection locked="0"/>
    </xf>
    <xf numFmtId="0" fontId="38" fillId="5" borderId="1" xfId="0" applyFont="1" applyFill="1" applyBorder="1" applyAlignment="1" applyProtection="1">
      <alignment vertical="center" wrapText="1"/>
      <protection locked="0"/>
    </xf>
    <xf numFmtId="0" fontId="38" fillId="5" borderId="82" xfId="0" applyFont="1" applyFill="1" applyBorder="1" applyAlignment="1" applyProtection="1">
      <alignment horizontal="center" vertical="center" wrapText="1"/>
      <protection locked="0"/>
    </xf>
    <xf numFmtId="0" fontId="44" fillId="0" borderId="48" xfId="0" applyFont="1" applyBorder="1" applyAlignment="1">
      <alignment horizontal="center" vertical="center" wrapText="1"/>
    </xf>
    <xf numFmtId="0" fontId="38" fillId="0" borderId="83" xfId="0" applyFont="1" applyBorder="1" applyAlignment="1" applyProtection="1">
      <alignment horizontal="center" vertical="center" wrapText="1"/>
      <protection locked="0"/>
    </xf>
    <xf numFmtId="0" fontId="38" fillId="0" borderId="67" xfId="0" applyFont="1" applyBorder="1" applyAlignment="1" applyProtection="1">
      <alignment horizontal="center" vertical="center" wrapText="1"/>
      <protection locked="0"/>
    </xf>
    <xf numFmtId="0" fontId="39" fillId="0" borderId="24" xfId="0" applyFont="1" applyBorder="1" applyAlignment="1">
      <alignment horizontal="center" vertical="center" wrapText="1"/>
    </xf>
    <xf numFmtId="0" fontId="39" fillId="0" borderId="68" xfId="0" applyFont="1" applyBorder="1" applyAlignment="1">
      <alignment horizontal="center" vertical="center" wrapText="1"/>
    </xf>
    <xf numFmtId="0" fontId="39" fillId="0" borderId="53" xfId="0" applyFont="1" applyBorder="1" applyAlignment="1">
      <alignment horizontal="center" vertical="center" wrapText="1"/>
    </xf>
    <xf numFmtId="0" fontId="45" fillId="0" borderId="43" xfId="0" applyFont="1" applyBorder="1" applyAlignment="1">
      <alignment horizontal="center" vertical="center" wrapText="1"/>
    </xf>
    <xf numFmtId="0" fontId="45" fillId="0" borderId="48" xfId="0" applyFont="1" applyBorder="1" applyAlignment="1">
      <alignment horizontal="center" vertical="center" wrapText="1"/>
    </xf>
    <xf numFmtId="0" fontId="45" fillId="0" borderId="42" xfId="0" applyFont="1" applyBorder="1" applyAlignment="1">
      <alignment horizontal="center" vertical="center" wrapText="1"/>
    </xf>
    <xf numFmtId="0" fontId="45" fillId="0" borderId="69" xfId="0" applyFont="1" applyBorder="1" applyAlignment="1">
      <alignment horizontal="center" vertical="center" wrapText="1"/>
    </xf>
    <xf numFmtId="0" fontId="46" fillId="0" borderId="48" xfId="0" applyFont="1" applyBorder="1" applyAlignment="1" applyProtection="1">
      <alignment vertical="center" wrapText="1"/>
      <protection locked="0"/>
    </xf>
    <xf numFmtId="0" fontId="38" fillId="0" borderId="48" xfId="0" applyFont="1" applyBorder="1" applyAlignment="1">
      <alignment horizontal="center" vertical="center"/>
    </xf>
    <xf numFmtId="0" fontId="46" fillId="0" borderId="80" xfId="0" applyFont="1" applyBorder="1" applyAlignment="1" applyProtection="1">
      <alignment horizontal="center" vertical="center" wrapText="1"/>
      <protection locked="0"/>
    </xf>
    <xf numFmtId="0" fontId="46" fillId="0" borderId="71" xfId="0" applyFont="1" applyBorder="1" applyAlignment="1" applyProtection="1">
      <alignment vertical="center" wrapText="1"/>
      <protection locked="0"/>
    </xf>
    <xf numFmtId="0" fontId="46" fillId="0" borderId="78" xfId="0" applyFont="1" applyBorder="1" applyAlignment="1" applyProtection="1">
      <alignment horizontal="center" vertical="center" wrapText="1"/>
      <protection locked="0"/>
    </xf>
    <xf numFmtId="0" fontId="46" fillId="0" borderId="65" xfId="0" applyFont="1" applyBorder="1" applyAlignment="1" applyProtection="1">
      <alignment vertical="center" wrapText="1"/>
      <protection locked="0"/>
    </xf>
    <xf numFmtId="0" fontId="46" fillId="0" borderId="7" xfId="0" applyFont="1" applyBorder="1" applyAlignment="1" applyProtection="1">
      <alignment horizontal="center" vertical="center" wrapText="1"/>
      <protection locked="0"/>
    </xf>
    <xf numFmtId="0" fontId="46" fillId="0" borderId="72" xfId="0" applyFont="1" applyBorder="1" applyAlignment="1" applyProtection="1">
      <alignment vertical="center" wrapText="1"/>
      <protection locked="0"/>
    </xf>
    <xf numFmtId="0" fontId="46" fillId="0" borderId="48" xfId="0" applyFont="1" applyBorder="1" applyAlignment="1" applyProtection="1">
      <alignment horizontal="center" vertical="center" wrapText="1"/>
      <protection locked="0"/>
    </xf>
    <xf numFmtId="0" fontId="46" fillId="0" borderId="74" xfId="0" applyFont="1" applyBorder="1" applyAlignment="1" applyProtection="1">
      <alignment vertical="center" wrapText="1"/>
      <protection locked="0"/>
    </xf>
    <xf numFmtId="0" fontId="38" fillId="0" borderId="3" xfId="0" applyFont="1" applyBorder="1" applyAlignment="1" applyProtection="1">
      <alignment horizontal="center" vertical="center"/>
      <protection locked="0"/>
    </xf>
    <xf numFmtId="0" fontId="38" fillId="0" borderId="74" xfId="0" applyFont="1" applyBorder="1" applyAlignment="1" applyProtection="1">
      <alignment horizontal="center" vertical="center" wrapText="1"/>
      <protection locked="0"/>
    </xf>
    <xf numFmtId="0" fontId="0" fillId="0" borderId="84" xfId="0" applyBorder="1" applyAlignment="1">
      <alignment horizontal="left" vertical="top" wrapText="1"/>
    </xf>
    <xf numFmtId="0" fontId="43" fillId="0" borderId="75" xfId="0" applyFont="1" applyBorder="1" applyAlignment="1">
      <alignment horizontal="left" vertical="top" wrapText="1"/>
    </xf>
    <xf numFmtId="0" fontId="32" fillId="0" borderId="76" xfId="0" applyFont="1" applyBorder="1" applyAlignment="1">
      <alignment horizontal="left" vertical="top" wrapText="1"/>
    </xf>
    <xf numFmtId="0" fontId="32" fillId="0" borderId="77" xfId="0" applyFont="1" applyBorder="1" applyAlignment="1">
      <alignment horizontal="left" vertical="top" wrapText="1"/>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5" xfId="0" applyFont="1" applyBorder="1" applyAlignment="1">
      <alignment horizontal="center" vertical="center" wrapText="1"/>
    </xf>
    <xf numFmtId="0" fontId="11" fillId="0" borderId="21" xfId="0" applyFont="1" applyBorder="1" applyAlignment="1" applyProtection="1">
      <alignment horizontal="center"/>
      <protection locked="0"/>
    </xf>
    <xf numFmtId="0" fontId="11" fillId="0" borderId="0" xfId="0" applyFont="1" applyAlignment="1" applyProtection="1">
      <alignment horizontal="center"/>
      <protection locked="0"/>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14" fontId="2" fillId="0" borderId="5" xfId="0" applyNumberFormat="1" applyFont="1" applyBorder="1" applyAlignment="1">
      <alignment horizontal="center" vertical="center" wrapText="1"/>
    </xf>
    <xf numFmtId="14" fontId="2" fillId="0" borderId="32" xfId="0" applyNumberFormat="1" applyFont="1" applyBorder="1" applyAlignment="1">
      <alignment horizontal="center" vertical="center" wrapText="1"/>
    </xf>
    <xf numFmtId="14" fontId="2" fillId="0" borderId="56" xfId="0" applyNumberFormat="1" applyFont="1" applyBorder="1" applyAlignment="1">
      <alignment horizontal="center" vertical="center" wrapText="1"/>
    </xf>
    <xf numFmtId="0" fontId="32" fillId="0" borderId="43" xfId="0" applyFont="1" applyBorder="1" applyAlignment="1">
      <alignment horizontal="center" vertical="top" wrapText="1"/>
    </xf>
    <xf numFmtId="0" fontId="32" fillId="0" borderId="45" xfId="0" applyFont="1" applyBorder="1" applyAlignment="1">
      <alignment horizontal="center" vertical="top" wrapText="1"/>
    </xf>
    <xf numFmtId="0" fontId="32" fillId="0" borderId="44" xfId="0" applyFont="1" applyBorder="1" applyAlignment="1">
      <alignment horizontal="center" vertical="top" wrapText="1"/>
    </xf>
    <xf numFmtId="0" fontId="35" fillId="0" borderId="75" xfId="0" applyFont="1" applyBorder="1" applyAlignment="1">
      <alignment horizontal="left" vertical="top" wrapText="1"/>
    </xf>
    <xf numFmtId="0" fontId="35" fillId="0" borderId="76" xfId="0" applyFont="1" applyBorder="1" applyAlignment="1">
      <alignment horizontal="left" vertical="top" wrapText="1"/>
    </xf>
    <xf numFmtId="0" fontId="32" fillId="0" borderId="48" xfId="0" applyFont="1" applyBorder="1" applyAlignment="1">
      <alignment vertical="top" wrapText="1"/>
    </xf>
    <xf numFmtId="0" fontId="1" fillId="0" borderId="20" xfId="0" applyFont="1" applyBorder="1" applyAlignment="1">
      <alignment horizontal="center" vertical="center"/>
    </xf>
    <xf numFmtId="0" fontId="1" fillId="0" borderId="22" xfId="0" applyFont="1" applyBorder="1" applyAlignment="1">
      <alignment horizontal="center" vertical="center"/>
    </xf>
    <xf numFmtId="0" fontId="1" fillId="0" borderId="28" xfId="0" applyFont="1" applyBorder="1" applyAlignment="1">
      <alignment horizontal="center" vertical="center"/>
    </xf>
    <xf numFmtId="0" fontId="1" fillId="0" borderId="25" xfId="0" applyFont="1" applyBorder="1" applyAlignment="1">
      <alignment horizontal="center" vertical="center"/>
    </xf>
    <xf numFmtId="49" fontId="4" fillId="0" borderId="20"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0" fontId="8" fillId="0" borderId="27" xfId="0" applyFont="1" applyBorder="1" applyAlignment="1">
      <alignment horizontal="center" vertical="center" wrapText="1"/>
    </xf>
    <xf numFmtId="0" fontId="8" fillId="0" borderId="0" xfId="0" applyFont="1" applyAlignment="1">
      <alignment horizontal="center" vertical="center" wrapText="1"/>
    </xf>
    <xf numFmtId="0" fontId="8" fillId="0" borderId="26"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5" xfId="0" applyFont="1" applyBorder="1" applyAlignment="1">
      <alignment horizontal="center" vertical="center" wrapText="1"/>
    </xf>
    <xf numFmtId="14" fontId="1" fillId="0" borderId="20" xfId="0" applyNumberFormat="1" applyFont="1" applyBorder="1" applyAlignment="1">
      <alignment horizontal="center" vertical="center"/>
    </xf>
    <xf numFmtId="0" fontId="1" fillId="2" borderId="57" xfId="0" applyFont="1" applyFill="1" applyBorder="1" applyAlignment="1">
      <alignment horizontal="center" vertical="center"/>
    </xf>
    <xf numFmtId="0" fontId="1" fillId="2" borderId="58" xfId="0" applyFont="1" applyFill="1" applyBorder="1" applyAlignment="1">
      <alignment horizontal="center" vertical="center"/>
    </xf>
    <xf numFmtId="0" fontId="1" fillId="2" borderId="59" xfId="0" applyFont="1" applyFill="1" applyBorder="1" applyAlignment="1">
      <alignment horizontal="center" vertical="center"/>
    </xf>
    <xf numFmtId="0" fontId="1" fillId="2" borderId="60"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61"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24" xfId="0" applyFont="1" applyFill="1" applyBorder="1" applyAlignment="1">
      <alignment horizontal="center" vertical="center"/>
    </xf>
    <xf numFmtId="14" fontId="38" fillId="0" borderId="64" xfId="0" applyNumberFormat="1" applyFont="1" applyBorder="1" applyAlignment="1" applyProtection="1">
      <alignment horizontal="center" vertical="center" wrapText="1"/>
      <protection locked="0"/>
    </xf>
    <xf numFmtId="0" fontId="38" fillId="0" borderId="66" xfId="0" applyFont="1" applyBorder="1" applyAlignment="1" applyProtection="1">
      <alignment horizontal="center" vertical="center"/>
      <protection locked="0"/>
    </xf>
    <xf numFmtId="0" fontId="1" fillId="2" borderId="21" xfId="0" applyFont="1" applyFill="1" applyBorder="1" applyAlignment="1">
      <alignment horizontal="center" vertical="center"/>
    </xf>
    <xf numFmtId="0" fontId="1" fillId="2" borderId="1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2" fillId="2" borderId="6" xfId="0" applyFont="1" applyFill="1" applyBorder="1" applyAlignment="1">
      <alignment horizontal="center"/>
    </xf>
    <xf numFmtId="0" fontId="2" fillId="2" borderId="12" xfId="0" applyFont="1" applyFill="1" applyBorder="1" applyAlignment="1">
      <alignment horizontal="center"/>
    </xf>
    <xf numFmtId="0" fontId="1" fillId="2" borderId="1" xfId="0" applyFont="1" applyFill="1" applyBorder="1" applyAlignment="1">
      <alignment horizontal="center"/>
    </xf>
    <xf numFmtId="0" fontId="19" fillId="7" borderId="35" xfId="0" applyFont="1" applyFill="1" applyBorder="1" applyAlignment="1">
      <alignment horizontal="center" vertical="center" textRotation="90" wrapText="1"/>
    </xf>
    <xf numFmtId="0" fontId="19" fillId="7" borderId="37" xfId="0" applyFont="1" applyFill="1" applyBorder="1" applyAlignment="1">
      <alignment horizontal="center" vertical="center" textRotation="90" wrapText="1"/>
    </xf>
    <xf numFmtId="9" fontId="20" fillId="0" borderId="32" xfId="0" applyNumberFormat="1" applyFont="1" applyBorder="1" applyAlignment="1">
      <alignment horizontal="center" vertical="center" wrapText="1"/>
    </xf>
    <xf numFmtId="9" fontId="20" fillId="0" borderId="33" xfId="0" applyNumberFormat="1" applyFont="1" applyBorder="1" applyAlignment="1">
      <alignment horizontal="center" vertical="center" wrapText="1"/>
    </xf>
    <xf numFmtId="9" fontId="3" fillId="0" borderId="9" xfId="0" applyNumberFormat="1" applyFont="1" applyBorder="1" applyAlignment="1">
      <alignment horizontal="center" vertical="center" wrapText="1"/>
    </xf>
    <xf numFmtId="9" fontId="3" fillId="0" borderId="32" xfId="0" applyNumberFormat="1" applyFont="1" applyBorder="1" applyAlignment="1">
      <alignment horizontal="center" vertical="center" wrapText="1"/>
    </xf>
    <xf numFmtId="9" fontId="3" fillId="0" borderId="33" xfId="0" applyNumberFormat="1" applyFont="1" applyBorder="1" applyAlignment="1">
      <alignment horizontal="center" vertical="center" wrapText="1"/>
    </xf>
    <xf numFmtId="41" fontId="3" fillId="0" borderId="9" xfId="1" applyFont="1" applyBorder="1" applyAlignment="1">
      <alignment horizontal="center" vertical="center" wrapText="1"/>
    </xf>
    <xf numFmtId="41" fontId="3" fillId="0" borderId="32" xfId="1" applyFont="1" applyBorder="1" applyAlignment="1">
      <alignment horizontal="center" vertical="center" wrapText="1"/>
    </xf>
    <xf numFmtId="41" fontId="3" fillId="0" borderId="33" xfId="1" applyFont="1" applyBorder="1" applyAlignment="1">
      <alignment horizontal="center" vertical="center" wrapText="1"/>
    </xf>
    <xf numFmtId="9" fontId="3" fillId="4" borderId="9" xfId="0" applyNumberFormat="1" applyFont="1" applyFill="1" applyBorder="1" applyAlignment="1">
      <alignment horizontal="center" vertical="center"/>
    </xf>
    <xf numFmtId="9" fontId="3" fillId="4" borderId="32" xfId="0" applyNumberFormat="1" applyFont="1" applyFill="1" applyBorder="1" applyAlignment="1">
      <alignment horizontal="center" vertical="center"/>
    </xf>
    <xf numFmtId="9" fontId="3" fillId="4" borderId="33" xfId="0" applyNumberFormat="1" applyFont="1" applyFill="1" applyBorder="1" applyAlignment="1">
      <alignment horizontal="center" vertical="center"/>
    </xf>
    <xf numFmtId="0" fontId="1" fillId="3" borderId="19" xfId="0" applyFont="1" applyFill="1" applyBorder="1" applyAlignment="1">
      <alignment horizontal="center" vertical="center" textRotation="90"/>
    </xf>
    <xf numFmtId="0" fontId="1" fillId="3" borderId="31" xfId="0" applyFont="1" applyFill="1" applyBorder="1" applyAlignment="1">
      <alignment horizontal="center" vertical="center" textRotation="90"/>
    </xf>
    <xf numFmtId="9" fontId="3" fillId="4" borderId="10" xfId="0" applyNumberFormat="1" applyFont="1" applyFill="1" applyBorder="1" applyAlignment="1">
      <alignment horizontal="center" vertical="center"/>
    </xf>
    <xf numFmtId="9" fontId="3" fillId="4" borderId="5" xfId="0" applyNumberFormat="1" applyFont="1" applyFill="1" applyBorder="1" applyAlignment="1">
      <alignment horizontal="center" vertical="center"/>
    </xf>
    <xf numFmtId="9" fontId="3" fillId="4" borderId="16" xfId="0" applyNumberFormat="1" applyFont="1" applyFill="1" applyBorder="1" applyAlignment="1">
      <alignment horizontal="center" vertical="center"/>
    </xf>
    <xf numFmtId="0" fontId="9" fillId="0" borderId="8"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3" xfId="0" applyFont="1" applyBorder="1" applyAlignment="1">
      <alignment horizontal="center" vertical="center" wrapText="1"/>
    </xf>
    <xf numFmtId="41" fontId="20" fillId="0" borderId="32" xfId="1" applyFont="1" applyBorder="1" applyAlignment="1">
      <alignment horizontal="center" vertical="center" wrapText="1"/>
    </xf>
    <xf numFmtId="41" fontId="20" fillId="0" borderId="33" xfId="1" applyFont="1" applyBorder="1" applyAlignment="1">
      <alignment horizontal="center" vertical="center" wrapText="1"/>
    </xf>
    <xf numFmtId="0" fontId="20" fillId="4" borderId="6" xfId="0" applyFont="1" applyFill="1" applyBorder="1" applyAlignment="1">
      <alignment horizontal="center" vertical="center"/>
    </xf>
    <xf numFmtId="0" fontId="20" fillId="4" borderId="32" xfId="0" applyFont="1" applyFill="1" applyBorder="1" applyAlignment="1">
      <alignment horizontal="center" vertical="center"/>
    </xf>
    <xf numFmtId="0" fontId="20" fillId="4" borderId="16"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16" xfId="0" applyFont="1" applyFill="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6" xfId="0" applyFont="1" applyBorder="1" applyAlignment="1">
      <alignment horizontal="center" vertical="center" wrapText="1"/>
    </xf>
    <xf numFmtId="0" fontId="10" fillId="4" borderId="9" xfId="0" applyFont="1" applyFill="1" applyBorder="1" applyAlignment="1">
      <alignment horizontal="center" vertical="center" textRotation="90"/>
    </xf>
    <xf numFmtId="0" fontId="10" fillId="4" borderId="32" xfId="0" applyFont="1" applyFill="1" applyBorder="1" applyAlignment="1">
      <alignment horizontal="center" vertical="center" textRotation="90"/>
    </xf>
    <xf numFmtId="0" fontId="10" fillId="4" borderId="33" xfId="0" applyFont="1" applyFill="1" applyBorder="1" applyAlignment="1">
      <alignment horizontal="center" vertical="center" textRotation="90"/>
    </xf>
    <xf numFmtId="9" fontId="20" fillId="4" borderId="6" xfId="0" applyNumberFormat="1" applyFont="1" applyFill="1" applyBorder="1" applyAlignment="1">
      <alignment horizontal="center" vertical="center"/>
    </xf>
    <xf numFmtId="9" fontId="20" fillId="4" borderId="32" xfId="0" applyNumberFormat="1" applyFont="1" applyFill="1" applyBorder="1" applyAlignment="1">
      <alignment horizontal="center" vertical="center"/>
    </xf>
    <xf numFmtId="9" fontId="20" fillId="4" borderId="16" xfId="0" applyNumberFormat="1" applyFont="1" applyFill="1" applyBorder="1" applyAlignment="1">
      <alignment horizontal="center" vertical="center"/>
    </xf>
    <xf numFmtId="14" fontId="9" fillId="0" borderId="11" xfId="0" applyNumberFormat="1" applyFont="1" applyBorder="1" applyAlignment="1">
      <alignment horizontal="center" vertical="center" wrapText="1"/>
    </xf>
    <xf numFmtId="14" fontId="9" fillId="0" borderId="38" xfId="0" applyNumberFormat="1" applyFont="1" applyBorder="1" applyAlignment="1">
      <alignment horizontal="center" vertical="center" wrapText="1"/>
    </xf>
    <xf numFmtId="14" fontId="9" fillId="0" borderId="39" xfId="0" applyNumberFormat="1" applyFont="1" applyBorder="1" applyAlignment="1">
      <alignment horizontal="center" vertical="center" wrapText="1"/>
    </xf>
    <xf numFmtId="14" fontId="2" fillId="0" borderId="38" xfId="0" applyNumberFormat="1" applyFont="1" applyBorder="1" applyAlignment="1">
      <alignment horizontal="center" vertical="center" wrapText="1"/>
    </xf>
    <xf numFmtId="14" fontId="2" fillId="0" borderId="39" xfId="0" applyNumberFormat="1" applyFont="1" applyBorder="1" applyAlignment="1">
      <alignment horizontal="center" vertical="center" wrapText="1"/>
    </xf>
    <xf numFmtId="9" fontId="20" fillId="4" borderId="33" xfId="0" applyNumberFormat="1" applyFont="1" applyFill="1" applyBorder="1" applyAlignment="1">
      <alignment horizontal="center" vertical="center"/>
    </xf>
    <xf numFmtId="0" fontId="21" fillId="4" borderId="32" xfId="0" applyFont="1" applyFill="1" applyBorder="1" applyAlignment="1">
      <alignment horizontal="center" vertical="center" textRotation="90"/>
    </xf>
    <xf numFmtId="0" fontId="21" fillId="4" borderId="33" xfId="0" applyFont="1" applyFill="1" applyBorder="1" applyAlignment="1">
      <alignment horizontal="center" vertical="center" textRotation="90"/>
    </xf>
    <xf numFmtId="0" fontId="26" fillId="0" borderId="12" xfId="0" applyFont="1" applyBorder="1" applyAlignment="1">
      <alignment horizontal="center" vertical="center" textRotation="90"/>
    </xf>
    <xf numFmtId="0" fontId="26" fillId="0" borderId="38" xfId="0" applyFont="1" applyBorder="1" applyAlignment="1">
      <alignment horizontal="center" vertical="center" textRotation="90"/>
    </xf>
    <xf numFmtId="0" fontId="26" fillId="0" borderId="17" xfId="0" applyFont="1" applyBorder="1" applyAlignment="1">
      <alignment horizontal="center" vertical="center" textRotation="90"/>
    </xf>
    <xf numFmtId="0" fontId="12" fillId="11" borderId="19" xfId="0" applyFont="1" applyFill="1" applyBorder="1" applyAlignment="1">
      <alignment horizontal="center" vertical="center" textRotation="90"/>
    </xf>
    <xf numFmtId="0" fontId="12" fillId="11" borderId="38" xfId="0" applyFont="1" applyFill="1" applyBorder="1" applyAlignment="1">
      <alignment horizontal="center" vertical="center" textRotation="90"/>
    </xf>
    <xf numFmtId="0" fontId="12" fillId="11" borderId="31" xfId="0" applyFont="1" applyFill="1" applyBorder="1" applyAlignment="1">
      <alignment horizontal="center" vertical="center" textRotation="90"/>
    </xf>
    <xf numFmtId="0" fontId="12" fillId="11" borderId="17" xfId="0" applyFont="1" applyFill="1" applyBorder="1" applyAlignment="1">
      <alignment horizontal="center" vertical="center" textRotation="90"/>
    </xf>
    <xf numFmtId="0" fontId="2" fillId="0" borderId="35" xfId="0" applyFont="1" applyBorder="1" applyAlignment="1">
      <alignment horizontal="center" vertical="center" wrapText="1"/>
    </xf>
    <xf numFmtId="0" fontId="2" fillId="0" borderId="37" xfId="0" applyFont="1" applyBorder="1" applyAlignment="1">
      <alignment horizontal="center" vertical="center" wrapText="1"/>
    </xf>
    <xf numFmtId="0" fontId="11" fillId="0" borderId="29" xfId="0" applyFont="1" applyBorder="1" applyAlignment="1" applyProtection="1">
      <alignment horizontal="center"/>
      <protection locked="0"/>
    </xf>
    <xf numFmtId="14" fontId="38" fillId="0" borderId="66" xfId="0" applyNumberFormat="1" applyFont="1" applyBorder="1" applyAlignment="1" applyProtection="1">
      <alignment horizontal="center" vertical="center" wrapText="1"/>
      <protection locked="0"/>
    </xf>
    <xf numFmtId="0" fontId="38" fillId="0" borderId="66" xfId="0" applyFont="1" applyBorder="1" applyAlignment="1" applyProtection="1">
      <alignment horizontal="center" vertical="center" wrapText="1"/>
      <protection locked="0"/>
    </xf>
    <xf numFmtId="0" fontId="38" fillId="0" borderId="73" xfId="0" applyFont="1" applyBorder="1" applyAlignment="1" applyProtection="1">
      <alignment horizontal="center" vertical="center" wrapText="1"/>
      <protection locked="0"/>
    </xf>
    <xf numFmtId="0" fontId="29" fillId="0" borderId="19" xfId="0" applyFont="1" applyBorder="1" applyAlignment="1">
      <alignment horizontal="center" vertical="center" textRotation="90"/>
    </xf>
    <xf numFmtId="0" fontId="29" fillId="0" borderId="31" xfId="0" applyFont="1" applyBorder="1" applyAlignment="1">
      <alignment horizontal="center" vertical="center" textRotation="90"/>
    </xf>
    <xf numFmtId="0" fontId="29" fillId="0" borderId="17" xfId="0" applyFont="1" applyBorder="1" applyAlignment="1">
      <alignment horizontal="center" vertical="center" textRotation="90"/>
    </xf>
    <xf numFmtId="0" fontId="2" fillId="0" borderId="9" xfId="0" applyFont="1" applyBorder="1" applyAlignment="1">
      <alignment horizontal="center" vertical="center" wrapText="1"/>
    </xf>
    <xf numFmtId="0" fontId="31" fillId="0" borderId="21" xfId="0" applyFont="1" applyBorder="1" applyAlignment="1" applyProtection="1">
      <alignment horizontal="center"/>
      <protection locked="0"/>
    </xf>
    <xf numFmtId="0" fontId="31" fillId="0" borderId="0" xfId="0" applyFont="1" applyAlignment="1" applyProtection="1">
      <alignment horizontal="center"/>
      <protection locked="0"/>
    </xf>
    <xf numFmtId="0" fontId="31" fillId="0" borderId="29" xfId="0" applyFont="1" applyBorder="1" applyAlignment="1" applyProtection="1">
      <alignment horizontal="center"/>
      <protection locked="0"/>
    </xf>
    <xf numFmtId="0" fontId="22" fillId="0" borderId="8" xfId="0" applyFont="1" applyBorder="1" applyAlignment="1">
      <alignment horizontal="center" vertical="center" wrapText="1"/>
    </xf>
    <xf numFmtId="0" fontId="22" fillId="0" borderId="35" xfId="0" applyFont="1" applyBorder="1" applyAlignment="1">
      <alignment horizontal="center" vertical="center" wrapText="1"/>
    </xf>
    <xf numFmtId="0" fontId="22" fillId="0" borderId="46" xfId="0" applyFont="1" applyBorder="1" applyAlignment="1">
      <alignment horizontal="center" vertical="center" wrapText="1"/>
    </xf>
    <xf numFmtId="0" fontId="22" fillId="0" borderId="47" xfId="0" applyFont="1" applyBorder="1" applyAlignment="1">
      <alignment horizontal="center" vertical="center" wrapText="1"/>
    </xf>
    <xf numFmtId="14" fontId="22" fillId="0" borderId="43" xfId="0" applyNumberFormat="1" applyFont="1" applyBorder="1" applyAlignment="1">
      <alignment horizontal="center" vertical="center" wrapText="1"/>
    </xf>
    <xf numFmtId="14" fontId="22" fillId="0" borderId="45" xfId="0" applyNumberFormat="1" applyFont="1" applyBorder="1" applyAlignment="1">
      <alignment horizontal="center" vertical="center" wrapText="1"/>
    </xf>
    <xf numFmtId="14" fontId="22" fillId="0" borderId="44" xfId="0" applyNumberFormat="1" applyFont="1" applyBorder="1" applyAlignment="1">
      <alignment horizontal="center" vertical="center" wrapText="1"/>
    </xf>
    <xf numFmtId="0" fontId="3" fillId="0" borderId="18" xfId="0" applyFont="1" applyBorder="1" applyAlignment="1">
      <alignment horizontal="center" vertical="center"/>
    </xf>
    <xf numFmtId="0" fontId="3" fillId="0" borderId="35" xfId="0" applyFont="1" applyBorder="1" applyAlignment="1">
      <alignment horizontal="center" vertical="center"/>
    </xf>
    <xf numFmtId="0" fontId="3" fillId="0" borderId="30" xfId="0" applyFont="1" applyBorder="1" applyAlignment="1">
      <alignment horizontal="center" vertical="center"/>
    </xf>
    <xf numFmtId="0" fontId="3" fillId="0" borderId="15" xfId="0" applyFont="1" applyBorder="1" applyAlignment="1">
      <alignment horizontal="center" vertical="center"/>
    </xf>
    <xf numFmtId="0" fontId="3" fillId="0" borderId="32" xfId="0" applyFont="1" applyBorder="1" applyAlignment="1">
      <alignment horizontal="center" vertical="center" wrapText="1"/>
    </xf>
    <xf numFmtId="0" fontId="3" fillId="8" borderId="10" xfId="0" applyFont="1" applyFill="1" applyBorder="1" applyAlignment="1">
      <alignment horizontal="center" vertical="center" wrapText="1"/>
    </xf>
    <xf numFmtId="0" fontId="3" fillId="8" borderId="32"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5" fillId="0" borderId="10" xfId="0" applyFont="1" applyBorder="1" applyAlignment="1">
      <alignment horizontal="center" vertical="center"/>
    </xf>
    <xf numFmtId="0" fontId="5" fillId="0" borderId="32" xfId="0" applyFont="1" applyBorder="1" applyAlignment="1">
      <alignment horizontal="center" vertical="center"/>
    </xf>
    <xf numFmtId="0" fontId="5" fillId="0" borderId="5" xfId="0" applyFont="1" applyBorder="1" applyAlignment="1">
      <alignment horizontal="center" vertical="center"/>
    </xf>
    <xf numFmtId="0" fontId="5" fillId="0" borderId="16" xfId="0" applyFont="1" applyBorder="1" applyAlignment="1">
      <alignment horizontal="center" vertical="center"/>
    </xf>
    <xf numFmtId="0" fontId="3" fillId="4" borderId="32" xfId="0" applyFont="1" applyFill="1" applyBorder="1" applyAlignment="1">
      <alignment horizontal="center" vertical="center"/>
    </xf>
    <xf numFmtId="0" fontId="20" fillId="4" borderId="5" xfId="0" applyFont="1" applyFill="1" applyBorder="1" applyAlignment="1">
      <alignment horizontal="center" vertical="center"/>
    </xf>
    <xf numFmtId="9" fontId="20" fillId="4" borderId="5" xfId="0" applyNumberFormat="1" applyFont="1" applyFill="1" applyBorder="1" applyAlignment="1">
      <alignment horizontal="center" vertical="center"/>
    </xf>
    <xf numFmtId="14" fontId="3" fillId="0" borderId="70" xfId="0" applyNumberFormat="1" applyFont="1" applyBorder="1" applyAlignment="1" applyProtection="1">
      <alignment horizontal="center" vertical="center" wrapText="1"/>
      <protection locked="0"/>
    </xf>
    <xf numFmtId="0" fontId="3" fillId="0" borderId="66" xfId="0" applyFont="1" applyBorder="1" applyAlignment="1" applyProtection="1">
      <alignment horizontal="center" vertical="center"/>
      <protection locked="0"/>
    </xf>
    <xf numFmtId="9" fontId="3" fillId="4" borderId="1" xfId="0" applyNumberFormat="1" applyFont="1" applyFill="1" applyBorder="1" applyAlignment="1">
      <alignment horizontal="center" vertical="center"/>
    </xf>
    <xf numFmtId="9" fontId="3" fillId="4" borderId="50" xfId="0" applyNumberFormat="1" applyFont="1" applyFill="1" applyBorder="1" applyAlignment="1">
      <alignment horizontal="center" vertical="center"/>
    </xf>
    <xf numFmtId="9" fontId="3" fillId="4" borderId="56" xfId="0" applyNumberFormat="1" applyFont="1" applyFill="1" applyBorder="1" applyAlignment="1">
      <alignment horizontal="center" vertical="center"/>
    </xf>
    <xf numFmtId="0" fontId="10" fillId="4" borderId="56" xfId="0" applyFont="1" applyFill="1" applyBorder="1" applyAlignment="1">
      <alignment horizontal="center" vertical="center" textRotation="90"/>
    </xf>
    <xf numFmtId="0" fontId="31" fillId="0" borderId="70" xfId="0" applyFont="1" applyBorder="1" applyAlignment="1" applyProtection="1">
      <alignment horizontal="center"/>
      <protection locked="0"/>
    </xf>
    <xf numFmtId="0" fontId="31" fillId="0" borderId="66" xfId="0" applyFont="1" applyBorder="1" applyAlignment="1" applyProtection="1">
      <alignment horizontal="center"/>
      <protection locked="0"/>
    </xf>
    <xf numFmtId="0" fontId="31" fillId="0" borderId="73" xfId="0" applyFont="1" applyBorder="1" applyAlignment="1" applyProtection="1">
      <alignment horizontal="center"/>
      <protection locked="0"/>
    </xf>
    <xf numFmtId="0" fontId="36" fillId="11" borderId="19" xfId="0" applyFont="1" applyFill="1" applyBorder="1" applyAlignment="1">
      <alignment horizontal="center" vertical="center" textRotation="90"/>
    </xf>
    <xf numFmtId="0" fontId="36" fillId="11" borderId="14" xfId="0" applyFont="1" applyFill="1" applyBorder="1" applyAlignment="1">
      <alignment horizontal="center" vertical="center" textRotation="90"/>
    </xf>
    <xf numFmtId="0" fontId="36" fillId="11" borderId="31" xfId="0" applyFont="1" applyFill="1" applyBorder="1" applyAlignment="1">
      <alignment horizontal="center" vertical="center" textRotation="90"/>
    </xf>
    <xf numFmtId="14" fontId="27" fillId="0" borderId="5" xfId="0" applyNumberFormat="1" applyFont="1" applyBorder="1" applyAlignment="1">
      <alignment horizontal="center" vertical="center" wrapText="1"/>
    </xf>
    <xf numFmtId="14" fontId="27" fillId="0" borderId="6" xfId="0" applyNumberFormat="1" applyFont="1" applyBorder="1" applyAlignment="1">
      <alignment horizontal="center" vertical="center" wrapText="1"/>
    </xf>
    <xf numFmtId="0" fontId="22" fillId="0" borderId="43" xfId="0" applyFont="1" applyBorder="1" applyAlignment="1">
      <alignment horizontal="center" vertical="center" wrapText="1"/>
    </xf>
    <xf numFmtId="0" fontId="22" fillId="0" borderId="44" xfId="0" applyFont="1" applyBorder="1" applyAlignment="1">
      <alignment horizontal="center" vertical="center" wrapText="1"/>
    </xf>
    <xf numFmtId="0" fontId="22" fillId="0" borderId="54" xfId="0" applyFont="1" applyBorder="1" applyAlignment="1">
      <alignment horizontal="center" vertical="center" wrapText="1"/>
    </xf>
    <xf numFmtId="0" fontId="22" fillId="0" borderId="55" xfId="0" applyFont="1" applyBorder="1" applyAlignment="1">
      <alignment horizontal="center" vertical="center" wrapText="1"/>
    </xf>
    <xf numFmtId="14" fontId="22" fillId="0" borderId="26" xfId="0" applyNumberFormat="1" applyFont="1" applyBorder="1" applyAlignment="1">
      <alignment horizontal="center" vertical="center" wrapText="1"/>
    </xf>
    <xf numFmtId="14" fontId="22" fillId="0" borderId="25" xfId="0" applyNumberFormat="1" applyFont="1" applyBorder="1" applyAlignment="1">
      <alignment horizontal="center" vertical="center" wrapText="1"/>
    </xf>
    <xf numFmtId="9" fontId="3" fillId="0" borderId="56" xfId="0" applyNumberFormat="1" applyFont="1" applyBorder="1" applyAlignment="1">
      <alignment horizontal="center" vertical="center" wrapText="1"/>
    </xf>
    <xf numFmtId="41" fontId="3" fillId="0" borderId="56" xfId="1" applyFont="1" applyBorder="1" applyAlignment="1">
      <alignment horizontal="center" vertical="center" wrapText="1"/>
    </xf>
    <xf numFmtId="0" fontId="3" fillId="4" borderId="1" xfId="0" applyFont="1" applyFill="1" applyBorder="1" applyAlignment="1">
      <alignment horizontal="center" vertical="center"/>
    </xf>
    <xf numFmtId="0" fontId="3" fillId="4" borderId="50" xfId="0" applyFont="1" applyFill="1" applyBorder="1" applyAlignment="1">
      <alignment horizontal="center" vertical="center"/>
    </xf>
    <xf numFmtId="0" fontId="20" fillId="0" borderId="36" xfId="0" applyFont="1" applyBorder="1" applyAlignment="1">
      <alignment horizontal="center" vertical="center"/>
    </xf>
    <xf numFmtId="0" fontId="20" fillId="0" borderId="30" xfId="0" applyFont="1" applyBorder="1" applyAlignment="1">
      <alignment horizontal="center" vertical="center"/>
    </xf>
    <xf numFmtId="0" fontId="20" fillId="0" borderId="15" xfId="0" applyFont="1" applyBorder="1" applyAlignment="1">
      <alignment horizontal="center" vertical="center"/>
    </xf>
    <xf numFmtId="0" fontId="20" fillId="0" borderId="6"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16" xfId="0" applyFont="1" applyBorder="1" applyAlignment="1">
      <alignment horizontal="center" vertical="center" wrapText="1"/>
    </xf>
    <xf numFmtId="0" fontId="20" fillId="8" borderId="6" xfId="0" applyFont="1" applyFill="1" applyBorder="1" applyAlignment="1">
      <alignment horizontal="center" vertical="center" wrapText="1"/>
    </xf>
    <xf numFmtId="0" fontId="20" fillId="8" borderId="5" xfId="0" applyFont="1" applyFill="1" applyBorder="1" applyAlignment="1">
      <alignment horizontal="center" vertical="center" wrapText="1"/>
    </xf>
    <xf numFmtId="0" fontId="20" fillId="8" borderId="16" xfId="0" applyFont="1" applyFill="1" applyBorder="1" applyAlignment="1">
      <alignment horizontal="center" vertical="center" wrapText="1"/>
    </xf>
    <xf numFmtId="0" fontId="20" fillId="3" borderId="6" xfId="0" applyFont="1" applyFill="1" applyBorder="1" applyAlignment="1">
      <alignment horizontal="center" vertical="center" wrapText="1"/>
    </xf>
    <xf numFmtId="0" fontId="20" fillId="3" borderId="5" xfId="0" applyFont="1" applyFill="1" applyBorder="1" applyAlignment="1">
      <alignment horizontal="center" vertical="center" wrapText="1"/>
    </xf>
    <xf numFmtId="0" fontId="20" fillId="3" borderId="16" xfId="0" applyFont="1" applyFill="1" applyBorder="1" applyAlignment="1">
      <alignment horizontal="center" vertical="center" wrapText="1"/>
    </xf>
    <xf numFmtId="0" fontId="20" fillId="0" borderId="6" xfId="0" applyFont="1" applyBorder="1" applyAlignment="1">
      <alignment horizontal="center" vertical="center"/>
    </xf>
    <xf numFmtId="0" fontId="20" fillId="0" borderId="5" xfId="0" applyFont="1" applyBorder="1" applyAlignment="1">
      <alignment horizontal="center" vertical="center"/>
    </xf>
    <xf numFmtId="0" fontId="20" fillId="0" borderId="16" xfId="0" applyFont="1" applyBorder="1" applyAlignment="1">
      <alignment horizontal="center" vertical="center"/>
    </xf>
    <xf numFmtId="0" fontId="3" fillId="0" borderId="13" xfId="0" applyFont="1" applyBorder="1" applyAlignment="1">
      <alignment horizontal="center" vertical="center"/>
    </xf>
    <xf numFmtId="0" fontId="3" fillId="0" borderId="49" xfId="0" applyFont="1" applyBorder="1" applyAlignment="1">
      <alignment horizontal="center" vertical="center"/>
    </xf>
    <xf numFmtId="0" fontId="3" fillId="0" borderId="1" xfId="0" applyFont="1" applyBorder="1" applyAlignment="1">
      <alignment horizontal="center" vertical="center" wrapText="1"/>
    </xf>
    <xf numFmtId="0" fontId="3" fillId="0" borderId="50" xfId="0" applyFont="1" applyBorder="1" applyAlignment="1">
      <alignment horizontal="center" vertical="center" wrapText="1"/>
    </xf>
    <xf numFmtId="0" fontId="3" fillId="8" borderId="1" xfId="0" applyFont="1" applyFill="1" applyBorder="1" applyAlignment="1">
      <alignment horizontal="center" vertical="center" wrapText="1"/>
    </xf>
    <xf numFmtId="0" fontId="3" fillId="8" borderId="5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0" borderId="10"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50" xfId="0" applyFont="1" applyBorder="1" applyAlignment="1">
      <alignment horizontal="center" vertical="center"/>
    </xf>
    <xf numFmtId="0" fontId="3" fillId="0" borderId="36" xfId="0" applyFont="1" applyBorder="1" applyAlignment="1">
      <alignment horizontal="center" vertical="center"/>
    </xf>
    <xf numFmtId="0" fontId="3" fillId="0" borderId="6" xfId="0" applyFont="1" applyBorder="1" applyAlignment="1">
      <alignment horizontal="center" vertical="center"/>
    </xf>
    <xf numFmtId="0" fontId="3" fillId="0" borderId="6" xfId="0" applyFont="1" applyBorder="1" applyAlignment="1">
      <alignment horizontal="center" vertical="center" wrapText="1"/>
    </xf>
    <xf numFmtId="0" fontId="3" fillId="8" borderId="6" xfId="0" applyFont="1" applyFill="1" applyBorder="1" applyAlignment="1">
      <alignment horizontal="center" vertical="center" wrapText="1"/>
    </xf>
    <xf numFmtId="0" fontId="12" fillId="3" borderId="12" xfId="0" applyFont="1" applyFill="1" applyBorder="1" applyAlignment="1">
      <alignment horizontal="center" vertical="center" textRotation="90"/>
    </xf>
    <xf numFmtId="0" fontId="12" fillId="3" borderId="14" xfId="0" applyFont="1" applyFill="1" applyBorder="1" applyAlignment="1">
      <alignment horizontal="center" vertical="center" textRotation="90"/>
    </xf>
    <xf numFmtId="0" fontId="12" fillId="3" borderId="31" xfId="0" applyFont="1" applyFill="1" applyBorder="1" applyAlignment="1">
      <alignment horizontal="center" vertical="center" textRotation="90"/>
    </xf>
    <xf numFmtId="0" fontId="3" fillId="3" borderId="6" xfId="0" applyFont="1" applyFill="1" applyBorder="1" applyAlignment="1">
      <alignment horizontal="center" vertical="center" wrapText="1"/>
    </xf>
    <xf numFmtId="0" fontId="3" fillId="4" borderId="6" xfId="0" applyFont="1" applyFill="1" applyBorder="1" applyAlignment="1">
      <alignment horizontal="center" vertical="center"/>
    </xf>
    <xf numFmtId="9" fontId="3" fillId="4" borderId="6" xfId="0" applyNumberFormat="1" applyFont="1" applyFill="1" applyBorder="1" applyAlignment="1">
      <alignment horizontal="center" vertical="center"/>
    </xf>
    <xf numFmtId="0" fontId="18" fillId="4" borderId="6" xfId="0" applyFont="1" applyFill="1" applyBorder="1" applyAlignment="1">
      <alignment horizontal="center" vertical="center"/>
    </xf>
    <xf numFmtId="0" fontId="18" fillId="4" borderId="1" xfId="0" applyFont="1" applyFill="1" applyBorder="1" applyAlignment="1">
      <alignment horizontal="center" vertical="center"/>
    </xf>
    <xf numFmtId="0" fontId="18" fillId="4" borderId="5" xfId="0" applyFont="1" applyFill="1" applyBorder="1" applyAlignment="1">
      <alignment horizontal="center" vertical="center"/>
    </xf>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20" fillId="0" borderId="35" xfId="0" applyFont="1" applyBorder="1" applyAlignment="1">
      <alignment horizontal="center" vertical="center"/>
    </xf>
    <xf numFmtId="0" fontId="20" fillId="0" borderId="32" xfId="0" applyFont="1" applyBorder="1" applyAlignment="1">
      <alignment horizontal="center" vertical="center"/>
    </xf>
    <xf numFmtId="0" fontId="20" fillId="0" borderId="32" xfId="0" applyFont="1" applyBorder="1" applyAlignment="1">
      <alignment horizontal="center" vertical="center" wrapText="1"/>
    </xf>
    <xf numFmtId="0" fontId="3" fillId="0" borderId="16" xfId="0" applyFont="1" applyBorder="1" applyAlignment="1">
      <alignment horizontal="center" vertical="center"/>
    </xf>
    <xf numFmtId="0" fontId="20" fillId="8" borderId="32" xfId="0" applyFont="1" applyFill="1" applyBorder="1" applyAlignment="1">
      <alignment horizontal="center" vertical="center" wrapText="1"/>
    </xf>
    <xf numFmtId="0" fontId="20" fillId="3" borderId="32"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cellXfs>
  <cellStyles count="2">
    <cellStyle name="Millares [0]" xfId="1" builtinId="6"/>
    <cellStyle name="Normal" xfId="0" builtinId="0"/>
  </cellStyles>
  <dxfs count="37">
    <dxf>
      <fill>
        <patternFill>
          <bgColor rgb="FFFF0000"/>
        </patternFill>
      </fill>
    </dxf>
    <dxf>
      <fill>
        <patternFill>
          <bgColor rgb="FFFFC000"/>
        </patternFill>
      </fill>
    </dxf>
    <dxf>
      <fill>
        <patternFill>
          <bgColor rgb="FF92D050"/>
        </patternFill>
      </fill>
    </dxf>
    <dxf>
      <fill>
        <patternFill>
          <bgColor rgb="FFFFFF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rgb="FFFFFF0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rgb="FFFF0000"/>
        </patternFill>
      </fill>
    </dxf>
    <dxf>
      <font>
        <b/>
        <i val="0"/>
        <color auto="1"/>
      </font>
      <fill>
        <patternFill>
          <bgColor theme="5"/>
        </patternFill>
      </fill>
    </dxf>
    <dxf>
      <font>
        <b/>
        <i val="0"/>
        <color auto="1"/>
      </font>
      <fill>
        <patternFill>
          <bgColor rgb="FFFFFF00"/>
        </patternFill>
      </fill>
    </dxf>
    <dxf>
      <font>
        <b/>
        <i val="0"/>
        <color auto="1"/>
      </font>
      <fill>
        <patternFill>
          <bgColor rgb="FF00B050"/>
        </patternFill>
      </fill>
    </dxf>
    <dxf>
      <font>
        <b/>
        <i val="0"/>
        <color auto="1"/>
      </font>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92038</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20600</xdr:rowOff>
    </xdr:to>
    <xdr:pic>
      <xdr:nvPicPr>
        <xdr:cNvPr id="3" name="Imagen 2">
          <a:extLst>
            <a:ext uri="{FF2B5EF4-FFF2-40B4-BE49-F238E27FC236}">
              <a16:creationId xmlns:a16="http://schemas.microsoft.com/office/drawing/2014/main" id="{ED2249B6-D70D-4A8B-B6E6-27889E4EC5B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5252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carolina Rincón" id="{A288AA1C-BAC9-4853-9054-91755C25E0DB}" userId="93aa7ac85b4ccbce" providerId="Windows Live"/>
  <person displayName="Willington Granados Herrera" id="{EC46C56C-715B-4755-81CD-E2C88F47A421}" userId="S::willington.granados@idipron.gov.co::31b240b4-d49a-4bf7-b038-72480c7a6c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7" dT="2024-04-02T20:40:00.46" personId="{EC46C56C-715B-4755-81CD-E2C88F47A421}" id="{36D0065D-BCE3-4F88-9449-61E222CB6F79}">
    <text xml:space="preserve">Se toma como base los 365 que corresponde a los días del año en que la entidad podría incumplir las expectativas de los NNAJ.
</text>
  </threadedComment>
  <threadedComment ref="G20" dT="2022-04-18T18:11:41.87" personId="{A288AA1C-BAC9-4853-9054-91755C25E0DB}" id="{E05D81E0-3308-4222-B763-B77345008846}">
    <text>Numero de egresos 2021</text>
  </threadedComment>
  <threadedComment ref="G43" dT="2022-04-27T20:45:39.74" personId="{EC46C56C-715B-4755-81CD-E2C88F47A421}" id="{FAA3FE27-2A9B-4BD3-AD3D-9792A125D54C}">
    <text>Numero de unidades</text>
  </threadedComment>
  <threadedComment ref="G43" dT="2024-03-08T16:02:47.32" personId="{EC46C56C-715B-4755-81CD-E2C88F47A421}" id="{A45D6E96-FE02-4F03-8DCB-0AA68B4E7C5E}" parentId="{FAA3FE27-2A9B-4BD3-AD3D-9792A125D54C}">
    <text>Se toma como dato el numero de unidades activas 13 para 2024</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D104"/>
  <sheetViews>
    <sheetView showGridLines="0" tabSelected="1" topLeftCell="A16" zoomScale="50" zoomScaleNormal="50" zoomScaleSheetLayoutView="90" workbookViewId="0">
      <pane xSplit="1" ySplit="1" topLeftCell="H17" activePane="bottomRight" state="frozen"/>
      <selection pane="bottomRight" activeCell="Y20" sqref="Y20"/>
      <selection pane="bottomLeft" activeCell="A17" sqref="A17"/>
      <selection pane="topRight" activeCell="B16" sqref="B16"/>
    </sheetView>
  </sheetViews>
  <sheetFormatPr defaultColWidth="11.42578125" defaultRowHeight="15.75"/>
  <cols>
    <col min="2" max="2" width="27.140625" customWidth="1"/>
    <col min="3" max="3" width="26" customWidth="1"/>
    <col min="4" max="4" width="19.140625" customWidth="1"/>
    <col min="5" max="5" width="25.42578125" customWidth="1"/>
    <col min="6" max="6" width="25.42578125" hidden="1" customWidth="1"/>
    <col min="7" max="8" width="20.140625" customWidth="1"/>
    <col min="9" max="9" width="9.42578125" customWidth="1"/>
    <col min="10" max="10" width="25.42578125" customWidth="1"/>
    <col min="11" max="11" width="32.85546875" customWidth="1"/>
    <col min="12" max="12" width="20.140625" style="1" customWidth="1"/>
    <col min="13" max="13" width="9.42578125" style="1" customWidth="1"/>
    <col min="14" max="14" width="26.85546875" style="1" customWidth="1"/>
    <col min="15" max="15" width="11.28515625" style="1" customWidth="1"/>
    <col min="16" max="16" width="1" style="1" customWidth="1"/>
    <col min="17" max="17" width="5.140625" style="1" customWidth="1"/>
    <col min="18" max="18" width="63.42578125" style="1" customWidth="1"/>
    <col min="19" max="19" width="15.85546875" style="1" customWidth="1"/>
    <col min="20" max="22" width="5.140625" style="1" customWidth="1"/>
    <col min="23" max="24" width="11.42578125" style="1" customWidth="1"/>
    <col min="25" max="25" width="14.85546875" style="1" customWidth="1"/>
    <col min="26" max="26" width="9.42578125" style="1" customWidth="1"/>
    <col min="27" max="27" width="7.28515625" style="1" customWidth="1"/>
    <col min="28" max="28" width="9.42578125" style="1" customWidth="1"/>
    <col min="29" max="29" width="8" style="1" customWidth="1"/>
    <col min="30" max="31" width="7.28515625" style="1" customWidth="1"/>
    <col min="32" max="32" width="9.28515625" style="1" customWidth="1"/>
    <col min="33" max="33" width="8.5703125" style="4" customWidth="1"/>
    <col min="34" max="34" width="1" style="4" customWidth="1"/>
    <col min="35" max="35" width="26.85546875" style="91" customWidth="1"/>
    <col min="36" max="36" width="26.7109375" style="90" customWidth="1"/>
    <col min="37" max="37" width="13" style="90" customWidth="1"/>
    <col min="38" max="38" width="11" customWidth="1"/>
    <col min="39" max="39" width="19" customWidth="1"/>
    <col min="40" max="40" width="102.28515625" style="92" customWidth="1"/>
    <col min="41" max="41" width="48.85546875" style="92" customWidth="1"/>
    <col min="42" max="42" width="56.140625" style="92" customWidth="1"/>
    <col min="43" max="43" width="45" style="92" customWidth="1"/>
    <col min="44" max="44" width="4.85546875" customWidth="1"/>
    <col min="45" max="45" width="45" customWidth="1"/>
    <col min="46" max="46" width="78.140625" customWidth="1"/>
  </cols>
  <sheetData>
    <row r="1" spans="1:46" ht="15.75" customHeight="1">
      <c r="A1" s="255"/>
      <c r="B1" s="256"/>
      <c r="C1" s="480" t="s">
        <v>0</v>
      </c>
      <c r="D1" s="481"/>
      <c r="E1" s="481"/>
      <c r="F1" s="481"/>
      <c r="G1" s="481"/>
      <c r="H1" s="481"/>
      <c r="I1" s="481"/>
      <c r="J1" s="481"/>
      <c r="K1" s="481"/>
      <c r="L1" s="481"/>
      <c r="M1" s="481"/>
      <c r="N1" s="481"/>
      <c r="O1" s="481"/>
      <c r="P1" s="481"/>
      <c r="Q1" s="481"/>
      <c r="R1" s="481"/>
      <c r="S1" s="481"/>
      <c r="T1" s="481"/>
      <c r="U1" s="481"/>
      <c r="V1" s="481"/>
      <c r="W1" s="481"/>
      <c r="X1" s="481"/>
      <c r="Y1" s="481"/>
      <c r="Z1" s="481"/>
      <c r="AA1" s="481"/>
      <c r="AB1" s="481"/>
      <c r="AC1" s="481"/>
      <c r="AD1" s="481"/>
      <c r="AE1" s="481"/>
      <c r="AF1" s="481"/>
      <c r="AG1" s="481"/>
      <c r="AH1" s="481"/>
      <c r="AI1" s="481"/>
      <c r="AJ1" s="481"/>
      <c r="AK1" s="481"/>
      <c r="AL1" s="481"/>
      <c r="AM1" s="481"/>
      <c r="AN1" s="481"/>
      <c r="AO1" s="481"/>
      <c r="AP1" s="482"/>
      <c r="AQ1" s="255" t="s">
        <v>1</v>
      </c>
      <c r="AR1" s="256"/>
      <c r="AS1" s="275" t="s">
        <v>2</v>
      </c>
      <c r="AT1" s="276"/>
    </row>
    <row r="2" spans="1:46" ht="15.75" customHeight="1" thickBot="1">
      <c r="A2" s="478"/>
      <c r="B2" s="479"/>
      <c r="C2" s="283"/>
      <c r="D2" s="284"/>
      <c r="E2" s="284"/>
      <c r="F2" s="284"/>
      <c r="G2" s="284"/>
      <c r="H2" s="284"/>
      <c r="I2" s="284"/>
      <c r="J2" s="284"/>
      <c r="K2" s="284"/>
      <c r="L2" s="284"/>
      <c r="M2" s="284"/>
      <c r="N2" s="284"/>
      <c r="O2" s="284"/>
      <c r="P2" s="284"/>
      <c r="Q2" s="284"/>
      <c r="R2" s="284"/>
      <c r="S2" s="284"/>
      <c r="T2" s="284"/>
      <c r="U2" s="284"/>
      <c r="V2" s="284"/>
      <c r="W2" s="284"/>
      <c r="X2" s="284"/>
      <c r="Y2" s="284"/>
      <c r="Z2" s="284"/>
      <c r="AA2" s="284"/>
      <c r="AB2" s="284"/>
      <c r="AC2" s="284"/>
      <c r="AD2" s="284"/>
      <c r="AE2" s="284"/>
      <c r="AF2" s="284"/>
      <c r="AG2" s="284"/>
      <c r="AH2" s="284"/>
      <c r="AI2" s="284"/>
      <c r="AJ2" s="284"/>
      <c r="AK2" s="284"/>
      <c r="AL2" s="284"/>
      <c r="AM2" s="284"/>
      <c r="AN2" s="284"/>
      <c r="AO2" s="284"/>
      <c r="AP2" s="285"/>
      <c r="AQ2" s="257"/>
      <c r="AR2" s="258"/>
      <c r="AS2" s="277"/>
      <c r="AT2" s="278"/>
    </row>
    <row r="3" spans="1:46" ht="15.75" customHeight="1">
      <c r="A3" s="478"/>
      <c r="B3" s="479"/>
      <c r="C3" s="283"/>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c r="AK3" s="284"/>
      <c r="AL3" s="284"/>
      <c r="AM3" s="284"/>
      <c r="AN3" s="284"/>
      <c r="AO3" s="284"/>
      <c r="AP3" s="285"/>
      <c r="AQ3" s="255" t="s">
        <v>3</v>
      </c>
      <c r="AR3" s="256"/>
      <c r="AS3" s="279" t="s">
        <v>4</v>
      </c>
      <c r="AT3" s="280"/>
    </row>
    <row r="4" spans="1:46" ht="16.5" customHeight="1" thickBot="1">
      <c r="A4" s="478"/>
      <c r="B4" s="479"/>
      <c r="C4" s="286"/>
      <c r="D4" s="287"/>
      <c r="E4" s="287"/>
      <c r="F4" s="287"/>
      <c r="G4" s="287"/>
      <c r="H4" s="287"/>
      <c r="I4" s="287"/>
      <c r="J4" s="287"/>
      <c r="K4" s="287"/>
      <c r="L4" s="287"/>
      <c r="M4" s="287"/>
      <c r="N4" s="287"/>
      <c r="O4" s="287"/>
      <c r="P4" s="287"/>
      <c r="Q4" s="287"/>
      <c r="R4" s="287"/>
      <c r="S4" s="287"/>
      <c r="T4" s="287"/>
      <c r="U4" s="287"/>
      <c r="V4" s="287"/>
      <c r="W4" s="287"/>
      <c r="X4" s="287"/>
      <c r="Y4" s="287"/>
      <c r="Z4" s="287"/>
      <c r="AA4" s="287"/>
      <c r="AB4" s="287"/>
      <c r="AC4" s="287"/>
      <c r="AD4" s="287"/>
      <c r="AE4" s="287"/>
      <c r="AF4" s="287"/>
      <c r="AG4" s="287"/>
      <c r="AH4" s="287"/>
      <c r="AI4" s="287"/>
      <c r="AJ4" s="287"/>
      <c r="AK4" s="287"/>
      <c r="AL4" s="287"/>
      <c r="AM4" s="287"/>
      <c r="AN4" s="287"/>
      <c r="AO4" s="287"/>
      <c r="AP4" s="288"/>
      <c r="AQ4" s="257"/>
      <c r="AR4" s="258"/>
      <c r="AS4" s="281"/>
      <c r="AT4" s="282"/>
    </row>
    <row r="5" spans="1:46" ht="20.45" customHeight="1">
      <c r="A5" s="478"/>
      <c r="B5" s="479"/>
      <c r="C5" s="283" t="s">
        <v>5</v>
      </c>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85"/>
      <c r="AQ5" s="255" t="s">
        <v>6</v>
      </c>
      <c r="AR5" s="256"/>
      <c r="AS5" s="255" t="s">
        <v>7</v>
      </c>
      <c r="AT5" s="256"/>
    </row>
    <row r="6" spans="1:46" ht="15" customHeight="1" thickBot="1">
      <c r="A6" s="478"/>
      <c r="B6" s="479"/>
      <c r="C6" s="283"/>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c r="AM6" s="284"/>
      <c r="AN6" s="284"/>
      <c r="AO6" s="284"/>
      <c r="AP6" s="285"/>
      <c r="AQ6" s="257"/>
      <c r="AR6" s="258"/>
      <c r="AS6" s="257"/>
      <c r="AT6" s="258"/>
    </row>
    <row r="7" spans="1:46" ht="15.75" customHeight="1">
      <c r="A7" s="478"/>
      <c r="B7" s="479"/>
      <c r="C7" s="283"/>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5"/>
      <c r="AQ7" s="255" t="s">
        <v>8</v>
      </c>
      <c r="AR7" s="256"/>
      <c r="AS7" s="289">
        <v>44835</v>
      </c>
      <c r="AT7" s="276"/>
    </row>
    <row r="8" spans="1:46" ht="16.5" customHeight="1" thickBot="1">
      <c r="A8" s="257"/>
      <c r="B8" s="258"/>
      <c r="C8" s="286"/>
      <c r="D8" s="287"/>
      <c r="E8" s="287"/>
      <c r="F8" s="287"/>
      <c r="G8" s="287"/>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c r="AG8" s="287"/>
      <c r="AH8" s="287"/>
      <c r="AI8" s="287"/>
      <c r="AJ8" s="287"/>
      <c r="AK8" s="287"/>
      <c r="AL8" s="287"/>
      <c r="AM8" s="287"/>
      <c r="AN8" s="287"/>
      <c r="AO8" s="287"/>
      <c r="AP8" s="288"/>
      <c r="AQ8" s="257"/>
      <c r="AR8" s="258"/>
      <c r="AS8" s="277"/>
      <c r="AT8" s="278"/>
    </row>
    <row r="10" spans="1:46" ht="54" customHeight="1">
      <c r="A10" s="489" t="s">
        <v>9</v>
      </c>
      <c r="B10" s="489"/>
      <c r="C10" s="489"/>
      <c r="D10" s="490" t="s">
        <v>0</v>
      </c>
      <c r="E10" s="491"/>
      <c r="F10" s="491"/>
      <c r="G10" s="491"/>
      <c r="H10" s="491"/>
      <c r="I10" s="491"/>
      <c r="J10" s="491"/>
      <c r="K10" s="491"/>
      <c r="L10" s="491"/>
      <c r="M10" s="492"/>
      <c r="N10" s="29"/>
      <c r="AG10" s="1"/>
      <c r="AH10" s="1"/>
      <c r="AI10" s="90"/>
    </row>
    <row r="11" spans="1:46" s="3" customFormat="1" ht="75" customHeight="1">
      <c r="A11" s="489" t="s">
        <v>10</v>
      </c>
      <c r="B11" s="489"/>
      <c r="C11" s="489"/>
      <c r="D11" s="493" t="s">
        <v>11</v>
      </c>
      <c r="E11" s="494"/>
      <c r="F11" s="494"/>
      <c r="G11" s="494"/>
      <c r="H11" s="494"/>
      <c r="I11" s="494"/>
      <c r="J11" s="494"/>
      <c r="K11" s="494"/>
      <c r="L11" s="494"/>
      <c r="M11" s="495"/>
      <c r="N11" s="30"/>
      <c r="O11" s="2"/>
      <c r="P11" s="2"/>
      <c r="Q11" s="2"/>
      <c r="R11" s="2"/>
      <c r="S11" s="2"/>
      <c r="T11" s="2"/>
      <c r="U11" s="2"/>
      <c r="V11" s="2"/>
      <c r="W11" s="2"/>
      <c r="X11" s="2"/>
      <c r="Y11" s="2"/>
      <c r="Z11" s="2"/>
      <c r="AA11" s="2"/>
      <c r="AB11" s="2"/>
      <c r="AC11" s="2"/>
      <c r="AD11" s="2"/>
      <c r="AE11" s="2"/>
      <c r="AF11" s="2"/>
      <c r="AG11" s="2"/>
      <c r="AH11" s="2"/>
      <c r="AI11" s="90"/>
      <c r="AJ11" s="90"/>
      <c r="AK11" s="90"/>
      <c r="AN11" s="92"/>
      <c r="AO11" s="92"/>
      <c r="AP11" s="92"/>
      <c r="AQ11" s="92"/>
    </row>
    <row r="12" spans="1:46" s="3" customFormat="1" ht="75" customHeight="1">
      <c r="A12" s="489" t="s">
        <v>12</v>
      </c>
      <c r="B12" s="489"/>
      <c r="C12" s="489"/>
      <c r="D12" s="493" t="s">
        <v>13</v>
      </c>
      <c r="E12" s="494"/>
      <c r="F12" s="494"/>
      <c r="G12" s="494"/>
      <c r="H12" s="494"/>
      <c r="I12" s="494"/>
      <c r="J12" s="494"/>
      <c r="K12" s="494"/>
      <c r="L12" s="494"/>
      <c r="M12" s="495"/>
      <c r="N12" s="30"/>
      <c r="O12" s="2"/>
      <c r="P12" s="2"/>
      <c r="Q12" s="2"/>
      <c r="R12" s="2"/>
      <c r="S12" s="2"/>
      <c r="T12" s="2"/>
      <c r="U12" s="2"/>
      <c r="V12" s="2"/>
      <c r="W12" s="2"/>
      <c r="X12" s="2"/>
      <c r="Y12" s="2"/>
      <c r="Z12" s="2"/>
      <c r="AA12" s="2"/>
      <c r="AB12" s="2"/>
      <c r="AC12" s="2"/>
      <c r="AD12" s="2"/>
      <c r="AE12" s="2"/>
      <c r="AF12" s="2"/>
      <c r="AG12" s="2"/>
      <c r="AH12" s="2"/>
      <c r="AI12" s="90"/>
      <c r="AJ12" s="90"/>
      <c r="AK12" s="90"/>
      <c r="AN12" s="92"/>
      <c r="AO12" s="92"/>
      <c r="AP12" s="92"/>
      <c r="AQ12" s="92"/>
    </row>
    <row r="13" spans="1:46" s="3" customFormat="1" ht="24.75" customHeight="1">
      <c r="A13" s="7"/>
      <c r="B13" s="7"/>
      <c r="C13" s="7"/>
      <c r="D13" s="7"/>
      <c r="E13" s="7"/>
      <c r="F13" s="7"/>
      <c r="G13" s="7"/>
      <c r="H13" s="7"/>
      <c r="I13" s="7"/>
      <c r="J13" s="7"/>
      <c r="K13" s="7"/>
      <c r="L13" s="7"/>
      <c r="M13" s="7"/>
      <c r="N13" s="7"/>
      <c r="O13" s="2"/>
      <c r="P13" s="2"/>
      <c r="Q13" s="2"/>
      <c r="R13" s="2"/>
      <c r="S13" s="2"/>
      <c r="T13" s="2"/>
      <c r="U13" s="2"/>
      <c r="V13" s="2"/>
      <c r="W13" s="2"/>
      <c r="X13" s="2"/>
      <c r="Y13" s="2"/>
      <c r="Z13" s="2"/>
      <c r="AA13" s="2"/>
      <c r="AB13" s="2"/>
      <c r="AC13" s="2"/>
      <c r="AD13" s="2"/>
      <c r="AE13" s="2"/>
      <c r="AF13" s="2"/>
      <c r="AG13" s="2"/>
      <c r="AH13" s="2"/>
      <c r="AI13" s="90"/>
      <c r="AJ13" s="90"/>
      <c r="AK13" s="90"/>
      <c r="AN13" s="92"/>
      <c r="AO13" s="92"/>
      <c r="AP13" s="92"/>
      <c r="AQ13" s="92"/>
    </row>
    <row r="14" spans="1:46" s="3" customFormat="1" ht="24.75" customHeight="1">
      <c r="A14" s="303" t="s">
        <v>14</v>
      </c>
      <c r="B14" s="304"/>
      <c r="C14" s="304"/>
      <c r="D14" s="304"/>
      <c r="E14" s="304"/>
      <c r="F14" s="304"/>
      <c r="G14" s="304"/>
      <c r="H14" s="304"/>
      <c r="I14" s="304"/>
      <c r="J14" s="304"/>
      <c r="K14" s="304"/>
      <c r="L14" s="304"/>
      <c r="M14" s="304"/>
      <c r="N14" s="305"/>
      <c r="O14" s="306"/>
      <c r="P14" s="2"/>
      <c r="Q14" s="311" t="s">
        <v>15</v>
      </c>
      <c r="R14" s="312"/>
      <c r="S14" s="312"/>
      <c r="T14" s="313"/>
      <c r="U14" s="313"/>
      <c r="V14" s="313"/>
      <c r="W14" s="313"/>
      <c r="X14" s="313"/>
      <c r="Y14" s="313"/>
      <c r="Z14" s="312"/>
      <c r="AA14" s="312"/>
      <c r="AB14" s="312"/>
      <c r="AC14" s="312"/>
      <c r="AD14" s="312"/>
      <c r="AE14" s="312"/>
      <c r="AF14" s="312"/>
      <c r="AG14" s="314"/>
      <c r="AH14" s="2"/>
      <c r="AI14" s="296" t="s">
        <v>16</v>
      </c>
      <c r="AJ14" s="302"/>
      <c r="AK14" s="297"/>
      <c r="AM14" s="290" t="s">
        <v>17</v>
      </c>
      <c r="AN14" s="291"/>
      <c r="AO14" s="291"/>
      <c r="AP14" s="291"/>
      <c r="AQ14" s="292"/>
      <c r="AR14" s="42"/>
      <c r="AS14" s="296" t="s">
        <v>18</v>
      </c>
      <c r="AT14" s="297"/>
    </row>
    <row r="15" spans="1:46">
      <c r="A15" s="307"/>
      <c r="B15" s="308"/>
      <c r="C15" s="308"/>
      <c r="D15" s="308"/>
      <c r="E15" s="308"/>
      <c r="F15" s="308"/>
      <c r="G15" s="308"/>
      <c r="H15" s="308"/>
      <c r="I15" s="308"/>
      <c r="J15" s="308"/>
      <c r="K15" s="308"/>
      <c r="L15" s="308"/>
      <c r="M15" s="308"/>
      <c r="N15" s="309"/>
      <c r="O15" s="310"/>
      <c r="P15" s="2"/>
      <c r="Q15" s="31"/>
      <c r="R15" s="32"/>
      <c r="S15" s="32"/>
      <c r="T15" s="317" t="s">
        <v>19</v>
      </c>
      <c r="U15" s="317"/>
      <c r="V15" s="317"/>
      <c r="W15" s="317"/>
      <c r="X15" s="317"/>
      <c r="Y15" s="317"/>
      <c r="Z15" s="315"/>
      <c r="AA15" s="315"/>
      <c r="AB15" s="315"/>
      <c r="AC15" s="315"/>
      <c r="AD15" s="315"/>
      <c r="AE15" s="315"/>
      <c r="AF15" s="315"/>
      <c r="AG15" s="316"/>
      <c r="AH15" s="2"/>
      <c r="AI15" s="298"/>
      <c r="AJ15" s="294"/>
      <c r="AK15" s="299"/>
      <c r="AM15" s="293"/>
      <c r="AN15" s="294"/>
      <c r="AO15" s="294"/>
      <c r="AP15" s="294"/>
      <c r="AQ15" s="295"/>
      <c r="AR15" s="42"/>
      <c r="AS15" s="298"/>
      <c r="AT15" s="299"/>
    </row>
    <row r="16" spans="1:46" s="5" customFormat="1" ht="106.5" customHeight="1" thickBot="1">
      <c r="A16" s="11" t="s">
        <v>20</v>
      </c>
      <c r="B16" s="12" t="s">
        <v>21</v>
      </c>
      <c r="C16" s="13" t="s">
        <v>22</v>
      </c>
      <c r="D16" s="13" t="s">
        <v>23</v>
      </c>
      <c r="E16" s="14" t="s">
        <v>24</v>
      </c>
      <c r="F16" s="24" t="s">
        <v>25</v>
      </c>
      <c r="G16" s="46" t="s">
        <v>26</v>
      </c>
      <c r="H16" s="14" t="s">
        <v>27</v>
      </c>
      <c r="I16" s="13" t="s">
        <v>28</v>
      </c>
      <c r="J16" s="13" t="s">
        <v>29</v>
      </c>
      <c r="K16" s="14" t="s">
        <v>30</v>
      </c>
      <c r="L16" s="14" t="s">
        <v>31</v>
      </c>
      <c r="M16" s="13" t="s">
        <v>28</v>
      </c>
      <c r="N16" s="13" t="s">
        <v>32</v>
      </c>
      <c r="O16" s="15" t="s">
        <v>33</v>
      </c>
      <c r="P16" s="2"/>
      <c r="Q16" s="16" t="s">
        <v>34</v>
      </c>
      <c r="R16" s="17" t="s">
        <v>35</v>
      </c>
      <c r="S16" s="34" t="s">
        <v>36</v>
      </c>
      <c r="T16" s="18" t="s">
        <v>37</v>
      </c>
      <c r="U16" s="18" t="s">
        <v>38</v>
      </c>
      <c r="V16" s="18" t="s">
        <v>39</v>
      </c>
      <c r="W16" s="18" t="s">
        <v>40</v>
      </c>
      <c r="X16" s="18" t="s">
        <v>41</v>
      </c>
      <c r="Y16" s="18" t="s">
        <v>42</v>
      </c>
      <c r="Z16" s="19" t="s">
        <v>43</v>
      </c>
      <c r="AA16" s="19" t="s">
        <v>44</v>
      </c>
      <c r="AB16" s="19" t="s">
        <v>28</v>
      </c>
      <c r="AC16" s="19" t="s">
        <v>45</v>
      </c>
      <c r="AD16" s="19" t="s">
        <v>28</v>
      </c>
      <c r="AE16" s="19" t="s">
        <v>32</v>
      </c>
      <c r="AF16" s="19" t="s">
        <v>46</v>
      </c>
      <c r="AG16" s="15" t="s">
        <v>47</v>
      </c>
      <c r="AH16" s="2"/>
      <c r="AI16" s="20" t="s">
        <v>48</v>
      </c>
      <c r="AJ16" s="17" t="s">
        <v>49</v>
      </c>
      <c r="AK16" s="41" t="s">
        <v>50</v>
      </c>
      <c r="AM16" s="184" t="s">
        <v>51</v>
      </c>
      <c r="AN16" s="44" t="s">
        <v>52</v>
      </c>
      <c r="AO16" s="44" t="s">
        <v>53</v>
      </c>
      <c r="AP16" s="44" t="s">
        <v>54</v>
      </c>
      <c r="AQ16" s="185" t="s">
        <v>55</v>
      </c>
      <c r="AR16" s="43"/>
      <c r="AS16" s="189" t="s">
        <v>56</v>
      </c>
      <c r="AT16" s="45" t="s">
        <v>57</v>
      </c>
    </row>
    <row r="17" spans="1:56" ht="347.25" customHeight="1">
      <c r="A17" s="394">
        <v>1</v>
      </c>
      <c r="B17" s="461" t="s">
        <v>58</v>
      </c>
      <c r="C17" s="350" t="s">
        <v>59</v>
      </c>
      <c r="D17" s="350" t="s">
        <v>60</v>
      </c>
      <c r="E17" s="399" t="s">
        <v>61</v>
      </c>
      <c r="F17" s="403"/>
      <c r="G17" s="461">
        <v>365</v>
      </c>
      <c r="H17" s="347" t="str">
        <f>IF(G17&lt;=0,"",IF(G17&lt;=2,"Muy Baja",IF(G17&lt;=24,"Baja",IF(G17&lt;=500,"Media",IF(G17&lt;=5000,"Alta","Muy Alta")))))</f>
        <v>Media</v>
      </c>
      <c r="I17" s="333">
        <f>IF(H17="","",IF(H17="Muy Baja",0.2,IF(H17="Baja",0.4,IF(H17="Media",0.6,IF(H17="Alta",0.8,IF(H17="Muy Alta",1,))))))</f>
        <v>0.6</v>
      </c>
      <c r="J17" s="322" t="s">
        <v>62</v>
      </c>
      <c r="K17" s="325" t="str">
        <f>+J17</f>
        <v>El riesgo afecta la imagen de la entidad con algunos usuarios de relevancia frente al logro de los objetivos.</v>
      </c>
      <c r="L17" s="347" t="str">
        <f>+VLOOKUP(K17,Datos!$O$4:$P$15,2,FALSE)</f>
        <v>Moderado</v>
      </c>
      <c r="M17" s="333">
        <f>IF(L17="","",IF(L17="Leve",0.2,IF(L17="Menor",0.4,IF(L17="Moderado",0.6,IF(L17="Mayor",0.8,IF(L17="Catastrófico",1,))))))</f>
        <v>0.6</v>
      </c>
      <c r="N17" s="328" t="str">
        <f>+CONCATENATE(H17, " - ", L17)</f>
        <v>Media - Moderado</v>
      </c>
      <c r="O17" s="353" t="str">
        <f>+VLOOKUP(N17,Datos!$J$4:$K$28,2,)</f>
        <v>MODERADO</v>
      </c>
      <c r="P17" s="38"/>
      <c r="Q17" s="21">
        <v>1</v>
      </c>
      <c r="R17" s="207" t="s">
        <v>63</v>
      </c>
      <c r="S17" s="51" t="str">
        <f>IF(OR(T17="Preventivo",T17="Detectivo"),"Probabilidad",IF(T17="Correctivo","Impacto",""))</f>
        <v>Probabilidad</v>
      </c>
      <c r="T17" s="48" t="s">
        <v>64</v>
      </c>
      <c r="U17" s="48" t="s">
        <v>65</v>
      </c>
      <c r="V17" s="55" t="str">
        <f t="shared" ref="V17" si="0">IF(AND(T17="Preventivo",U17="Automático"),"50%",IF(AND(T17="Preventivo",U17="Manual"),"40%",IF(AND(T17="Detectivo",U17="Automático"),"40%",IF(AND(T17="Detectivo",U17="Manual"),"30%",IF(AND(T17="Correctivo",U17="Automático"),"35%",IF(AND(T17="Correctivo",U17="Manual"),"25%",""))))))</f>
        <v>30%</v>
      </c>
      <c r="W17" s="87" t="s">
        <v>66</v>
      </c>
      <c r="X17" s="49" t="s">
        <v>67</v>
      </c>
      <c r="Y17" s="171" t="s">
        <v>68</v>
      </c>
      <c r="Z17" s="58">
        <f>IFERROR(IF(S17="Probabilidad",(I17-(+I17*V17)),IF(S17="Impacto",I17,"")),"")</f>
        <v>0.42</v>
      </c>
      <c r="AA17" s="59" t="str">
        <f t="shared" ref="AA17:AA20" si="1">IFERROR(IF(Z17="","",IF(Z17&lt;=0.2,"Muy Baja",IF(Z17&lt;=0.4,"Baja",IF(Z17&lt;=0.6,"Media",IF(Z17&lt;=0.8,"Alta","Muy Alta"))))),"")</f>
        <v>Media</v>
      </c>
      <c r="AB17" s="60">
        <f t="shared" ref="AB17:AB24" si="2">+Z17</f>
        <v>0.42</v>
      </c>
      <c r="AC17" s="61" t="str">
        <f t="shared" ref="AC17:AC24" si="3">IFERROR(IF(AD17="","",IF(AD17&lt;=0.2,"Leve",IF(AD17&lt;=0.4,"Menor",IF(AD17&lt;=0.6,"Moderado",IF(AD17&lt;=0.8,"Mayor","Catastrófico"))))),"")</f>
        <v>Moderado</v>
      </c>
      <c r="AD17" s="58">
        <f>IFERROR(IF(S17="Impacto",(M17-(+M17*V17)),IF(S17="Probabilidad",M17,"")),"")</f>
        <v>0.6</v>
      </c>
      <c r="AE17" s="62" t="str">
        <f>+CONCATENATE(AA17, " - ", AC17)</f>
        <v>Media - Moderado</v>
      </c>
      <c r="AF17" s="78" t="str">
        <f>+VLOOKUP(AE17,Datos!$J$4:$K$28,2,)</f>
        <v>MODERADO</v>
      </c>
      <c r="AG17" s="331" t="s">
        <v>69</v>
      </c>
      <c r="AH17" s="38"/>
      <c r="AI17" s="336" t="s">
        <v>70</v>
      </c>
      <c r="AJ17" s="339" t="s">
        <v>71</v>
      </c>
      <c r="AK17" s="359" t="s">
        <v>72</v>
      </c>
      <c r="AM17" s="300">
        <v>45791</v>
      </c>
      <c r="AN17" s="203" t="s">
        <v>73</v>
      </c>
      <c r="AO17" s="203" t="s">
        <v>74</v>
      </c>
      <c r="AP17" s="213" t="s">
        <v>75</v>
      </c>
      <c r="AQ17" s="208" t="s">
        <v>76</v>
      </c>
      <c r="AR17" s="43"/>
      <c r="AS17" s="252" t="s">
        <v>77</v>
      </c>
      <c r="AT17" s="252" t="s">
        <v>78</v>
      </c>
    </row>
    <row r="18" spans="1:56" ht="285" customHeight="1">
      <c r="A18" s="396"/>
      <c r="B18" s="463"/>
      <c r="C18" s="351"/>
      <c r="D18" s="351"/>
      <c r="E18" s="401"/>
      <c r="F18" s="405"/>
      <c r="G18" s="463"/>
      <c r="H18" s="348"/>
      <c r="I18" s="334"/>
      <c r="J18" s="323"/>
      <c r="K18" s="326"/>
      <c r="L18" s="348"/>
      <c r="M18" s="334"/>
      <c r="N18" s="329"/>
      <c r="O18" s="354"/>
      <c r="P18" s="2"/>
      <c r="Q18" s="47">
        <v>2</v>
      </c>
      <c r="R18" s="207" t="s">
        <v>79</v>
      </c>
      <c r="S18" s="51" t="str">
        <f t="shared" ref="S18:S19" si="4">IF(OR(T18="Preventivo",T18="Detectivo"),"Probabilidad",IF(T18="Correctivo","Impacto",""))</f>
        <v>Probabilidad</v>
      </c>
      <c r="T18" s="48" t="s">
        <v>80</v>
      </c>
      <c r="U18" s="48" t="s">
        <v>65</v>
      </c>
      <c r="V18" s="54" t="str">
        <f t="shared" ref="V18:V19" si="5">IF(AND(T18="Preventivo",U18="Automático"),"50%",IF(AND(T18="Preventivo",U18="Manual"),"40%",IF(AND(T18="Detectivo",U18="Automático"),"40%",IF(AND(T18="Detectivo",U18="Manual"),"30%",IF(AND(T18="Correctivo",U18="Automático"),"35%",IF(AND(T18="Correctivo",U18="Manual"),"25%",""))))))</f>
        <v>40%</v>
      </c>
      <c r="W18" s="194" t="s">
        <v>81</v>
      </c>
      <c r="X18" s="49" t="s">
        <v>82</v>
      </c>
      <c r="Y18" s="171" t="s">
        <v>83</v>
      </c>
      <c r="Z18" s="63">
        <f t="shared" ref="Z18" si="6">IFERROR(IF(AND(S17="Probabilidad",S18="Probabilidad"),(AB17-(+AB17*V18)),IF(S18="Probabilidad",($I$17-(+$I$17*V18)),IF(S18="Impacto",AB17,""))),"")</f>
        <v>0.252</v>
      </c>
      <c r="AA18" s="64" t="str">
        <f t="shared" ref="AA18:AA19" si="7">IFERROR(IF(Z18="","",IF(Z18&lt;=0.2,"Muy Baja",IF(Z18&lt;=0.4,"Baja",IF(Z18&lt;=0.6,"Media",IF(Z18&lt;=0.8,"Alta","Muy Alta"))))),"")</f>
        <v>Baja</v>
      </c>
      <c r="AB18" s="65">
        <f t="shared" ref="AB18:AB19" si="8">+Z18</f>
        <v>0.252</v>
      </c>
      <c r="AC18" s="66" t="str">
        <f t="shared" si="3"/>
        <v>Moderado</v>
      </c>
      <c r="AD18" s="63">
        <f>IFERROR(IF(AND(S17="Impacto",S17="Impacto"),(AD17-(+AD17*V18)),IF(S18="Impacto",($M$17-(+$M$17*V18)),IF(S18="Probabilidad",AD17,""))),"")</f>
        <v>0.6</v>
      </c>
      <c r="AE18" s="67" t="str">
        <f t="shared" ref="AE18:AE19" si="9">+CONCATENATE(AA18, " - ", AC18)</f>
        <v>Baja - Moderado</v>
      </c>
      <c r="AF18" s="79" t="str">
        <f>+VLOOKUP(AE18,Datos!$J$4:$K$28,2,)</f>
        <v>MODERADO</v>
      </c>
      <c r="AG18" s="332"/>
      <c r="AH18" s="2"/>
      <c r="AI18" s="337"/>
      <c r="AJ18" s="340"/>
      <c r="AK18" s="360"/>
      <c r="AM18" s="301"/>
      <c r="AN18" s="204" t="s">
        <v>84</v>
      </c>
      <c r="AO18" s="204" t="s">
        <v>74</v>
      </c>
      <c r="AP18" s="204" t="s">
        <v>75</v>
      </c>
      <c r="AQ18" s="204" t="s">
        <v>74</v>
      </c>
      <c r="AR18" s="42"/>
      <c r="AS18" s="253"/>
      <c r="AT18" s="253"/>
    </row>
    <row r="19" spans="1:56" ht="327.75" customHeight="1">
      <c r="A19" s="397"/>
      <c r="B19" s="486"/>
      <c r="C19" s="352"/>
      <c r="D19" s="352"/>
      <c r="E19" s="402"/>
      <c r="F19" s="406"/>
      <c r="G19" s="486"/>
      <c r="H19" s="349"/>
      <c r="I19" s="335"/>
      <c r="J19" s="324"/>
      <c r="K19" s="327"/>
      <c r="L19" s="349"/>
      <c r="M19" s="335"/>
      <c r="N19" s="330"/>
      <c r="O19" s="355"/>
      <c r="P19" s="40"/>
      <c r="Q19" s="9">
        <v>3</v>
      </c>
      <c r="R19" s="198" t="s">
        <v>85</v>
      </c>
      <c r="S19" s="52" t="str">
        <f t="shared" si="4"/>
        <v>Impacto</v>
      </c>
      <c r="T19" s="196" t="s">
        <v>86</v>
      </c>
      <c r="U19" s="22" t="s">
        <v>65</v>
      </c>
      <c r="V19" s="85" t="str">
        <f t="shared" si="5"/>
        <v>25%</v>
      </c>
      <c r="W19" s="23" t="s">
        <v>87</v>
      </c>
      <c r="X19" s="23" t="s">
        <v>88</v>
      </c>
      <c r="Y19" s="172" t="s">
        <v>89</v>
      </c>
      <c r="Z19" s="68">
        <f>IFERROR(IF(AND(S18="Probabilidad",S19="Probabilidad"),(AB18-(+AB18*V19)),IF(S19="Probabilidad",($I$17-(+$I$17*V19)),IF(S19="Impacto",AB18,""))),"")</f>
        <v>0.252</v>
      </c>
      <c r="AA19" s="69" t="str">
        <f t="shared" si="7"/>
        <v>Baja</v>
      </c>
      <c r="AB19" s="70">
        <f t="shared" si="8"/>
        <v>0.252</v>
      </c>
      <c r="AC19" s="71" t="str">
        <f t="shared" si="3"/>
        <v>Moderado</v>
      </c>
      <c r="AD19" s="68">
        <f>IFERROR(IF(AND(S18="Impacto",S18="Impacto"),(AD18-(+AD18*V19)),IF(S19="Impacto",($M$17-(+$M$17*V19)),IF(S19="Probabilidad",AD18,""))),"")</f>
        <v>0.44999999999999996</v>
      </c>
      <c r="AE19" s="72" t="str">
        <f t="shared" si="9"/>
        <v>Baja - Moderado</v>
      </c>
      <c r="AF19" s="80" t="str">
        <f>+VLOOKUP(AE19,Datos!$J$4:$K$28,2,)</f>
        <v>MODERADO</v>
      </c>
      <c r="AG19" s="332"/>
      <c r="AH19" s="2"/>
      <c r="AI19" s="338"/>
      <c r="AJ19" s="341"/>
      <c r="AK19" s="361"/>
      <c r="AM19" s="301"/>
      <c r="AN19" s="204" t="s">
        <v>90</v>
      </c>
      <c r="AO19" s="223" t="s">
        <v>74</v>
      </c>
      <c r="AP19" s="230" t="s">
        <v>75</v>
      </c>
      <c r="AQ19" s="231" t="s">
        <v>91</v>
      </c>
      <c r="AR19" s="42"/>
      <c r="AS19" s="254"/>
      <c r="AT19" s="254"/>
    </row>
    <row r="20" spans="1:56" ht="241.5" customHeight="1">
      <c r="A20" s="438">
        <v>2</v>
      </c>
      <c r="B20" s="450" t="s">
        <v>58</v>
      </c>
      <c r="C20" s="441" t="s">
        <v>92</v>
      </c>
      <c r="D20" s="441" t="s">
        <v>93</v>
      </c>
      <c r="E20" s="444" t="s">
        <v>94</v>
      </c>
      <c r="F20" s="447"/>
      <c r="G20" s="450">
        <v>2824</v>
      </c>
      <c r="H20" s="344" t="str">
        <f>IF(G20&lt;=0,"",IF(G20&lt;=2,"Muy Baja",IF(G20&lt;=24,"Baja",IF(G20&lt;=500,"Media",IF(G20&lt;=5000,"Alta","Muy Alta")))))</f>
        <v>Alta</v>
      </c>
      <c r="I20" s="356">
        <f>IF(H20="","",IF(H20="Muy Baja",0.2,IF(H20="Baja",0.4,IF(H20="Media",0.6,IF(H20="Alta",0.8,IF(H20="Muy Alta",1,))))))</f>
        <v>0.8</v>
      </c>
      <c r="J20" s="320" t="s">
        <v>95</v>
      </c>
      <c r="K20" s="342" t="str">
        <f>+J20</f>
        <v>El riesgo afecta la imagen de la entidad con efecto publicitario sostenido a nivel de sector administrativo o distrital</v>
      </c>
      <c r="L20" s="344" t="str">
        <f>+VLOOKUP(K20,Datos!$O$4:$P$15,2,FALSE)</f>
        <v>Mayor</v>
      </c>
      <c r="M20" s="356">
        <f>IF(L20="","",IF(L20="Leve",0.2,IF(L20="Menor",0.4,IF(L20="Moderado",0.6,IF(L20="Mayor",0.8,IF(L20="Catastrófico",1,))))))</f>
        <v>0.8</v>
      </c>
      <c r="N20" s="357" t="str">
        <f>+CONCATENATE(H20, " - ", L20)</f>
        <v>Alta - Mayor</v>
      </c>
      <c r="O20" s="365" t="str">
        <f>+VLOOKUP(N20,Datos!$J$4:$K$28,2,)</f>
        <v>ALTO</v>
      </c>
      <c r="P20" s="103"/>
      <c r="Q20" s="104">
        <v>1</v>
      </c>
      <c r="R20" s="162" t="s">
        <v>96</v>
      </c>
      <c r="S20" s="105" t="str">
        <f t="shared" ref="S20:S21" si="10">IF(OR(T20="Preventivo",T20="Detectivo"),"Probabilidad",IF(T20="Correctivo","Impacto",""))</f>
        <v>Probabilidad</v>
      </c>
      <c r="T20" s="106" t="s">
        <v>64</v>
      </c>
      <c r="U20" s="106" t="s">
        <v>65</v>
      </c>
      <c r="V20" s="107" t="str">
        <f t="shared" ref="V20:V27" si="11">IF(AND(T20="Preventivo",U20="Automático"),"50%",IF(AND(T20="Preventivo",U20="Manual"),"40%",IF(AND(T20="Detectivo",U20="Automático"),"40%",IF(AND(T20="Detectivo",U20="Manual"),"30%",IF(AND(T20="Correctivo",U20="Automático"),"35%",IF(AND(T20="Correctivo",U20="Manual"),"25%",""))))))</f>
        <v>30%</v>
      </c>
      <c r="W20" s="108" t="s">
        <v>97</v>
      </c>
      <c r="X20" s="108" t="s">
        <v>98</v>
      </c>
      <c r="Y20" s="173" t="s">
        <v>99</v>
      </c>
      <c r="Z20" s="109">
        <f>IFERROR(IF(S20="Probabilidad",(I20-(+I20*V20)),IF(S20="Impacto",I20,"")),"")</f>
        <v>0.56000000000000005</v>
      </c>
      <c r="AA20" s="110" t="str">
        <f t="shared" si="1"/>
        <v>Media</v>
      </c>
      <c r="AB20" s="109">
        <f t="shared" si="2"/>
        <v>0.56000000000000005</v>
      </c>
      <c r="AC20" s="111" t="str">
        <f t="shared" si="3"/>
        <v>Mayor</v>
      </c>
      <c r="AD20" s="109">
        <f>IFERROR(IF(S20="Impacto",(M20-(+M20*V20)),IF(S20="Probabilidad",M20,"")),"")</f>
        <v>0.8</v>
      </c>
      <c r="AE20" s="112" t="str">
        <f>+CONCATENATE(AA20, " - ", AC20)</f>
        <v>Media - Mayor</v>
      </c>
      <c r="AF20" s="113" t="str">
        <f>+VLOOKUP(AE20,Datos!$J$4:$K$28,2,)</f>
        <v>ALTO</v>
      </c>
      <c r="AG20" s="367" t="s">
        <v>69</v>
      </c>
      <c r="AH20" s="2"/>
      <c r="AI20" s="318" t="s">
        <v>100</v>
      </c>
      <c r="AJ20" s="264"/>
      <c r="AK20" s="362"/>
      <c r="AM20" s="205"/>
      <c r="AN20" s="204"/>
      <c r="AO20" s="204"/>
      <c r="AP20" s="232"/>
      <c r="AQ20" s="233"/>
      <c r="AR20" s="186"/>
      <c r="AS20" s="190"/>
      <c r="AT20" s="99"/>
    </row>
    <row r="21" spans="1:56" ht="162.75" customHeight="1">
      <c r="A21" s="483"/>
      <c r="B21" s="484"/>
      <c r="C21" s="485"/>
      <c r="D21" s="485"/>
      <c r="E21" s="487"/>
      <c r="F21" s="488"/>
      <c r="G21" s="484"/>
      <c r="H21" s="345"/>
      <c r="I21" s="357"/>
      <c r="J21" s="320"/>
      <c r="K21" s="342"/>
      <c r="L21" s="345"/>
      <c r="M21" s="357"/>
      <c r="N21" s="357"/>
      <c r="O21" s="365"/>
      <c r="P21" s="103"/>
      <c r="Q21" s="104">
        <v>2</v>
      </c>
      <c r="R21" s="162" t="s">
        <v>101</v>
      </c>
      <c r="S21" s="105" t="str">
        <f t="shared" si="10"/>
        <v>Probabilidad</v>
      </c>
      <c r="T21" s="114" t="s">
        <v>64</v>
      </c>
      <c r="U21" s="114" t="s">
        <v>65</v>
      </c>
      <c r="V21" s="107" t="str">
        <f t="shared" si="11"/>
        <v>30%</v>
      </c>
      <c r="W21" s="108" t="s">
        <v>97</v>
      </c>
      <c r="X21" s="108" t="s">
        <v>88</v>
      </c>
      <c r="Y21" s="174" t="s">
        <v>102</v>
      </c>
      <c r="Z21" s="115">
        <f>IFERROR(IF(AND(S20="Probabilidad",S21="Probabilidad"),(AB20-(+AB20*V21)),IF(S21="Probabilidad",($I$20-(+$I$20*V21)),IF(S21="Impacto",AB20,""))),"")</f>
        <v>0.39200000000000002</v>
      </c>
      <c r="AA21" s="116" t="str">
        <f t="shared" ref="AA21" si="12">IFERROR(IF(Z21="","",IF(Z21&lt;=0.2,"Muy Baja",IF(Z21&lt;=0.4,"Baja",IF(Z21&lt;=0.6,"Media",IF(Z21&lt;=0.8,"Alta","Muy Alta"))))),"")</f>
        <v>Baja</v>
      </c>
      <c r="AB21" s="117">
        <f t="shared" ref="AB21" si="13">+Z21</f>
        <v>0.39200000000000002</v>
      </c>
      <c r="AC21" s="118" t="str">
        <f t="shared" ref="AC21" si="14">IFERROR(IF(AD21="","",IF(AD21&lt;=0.2,"Leve",IF(AD21&lt;=0.4,"Menor",IF(AD21&lt;=0.6,"Moderado",IF(AD21&lt;=0.8,"Mayor","Catastrófico"))))),"")</f>
        <v>Mayor</v>
      </c>
      <c r="AD21" s="115">
        <f>IFERROR(IF(AND(S20="Impacto",S20="Impacto"),(AD20-(+AD20*V21)),IF(S21="Impacto",($M$20-(+$M$20*V21)),IF(S21="Probabilidad",AD20,""))),"")</f>
        <v>0.8</v>
      </c>
      <c r="AE21" s="119" t="str">
        <f t="shared" ref="AE21" si="15">+CONCATENATE(AA21, " - ", AC21)</f>
        <v>Baja - Mayor</v>
      </c>
      <c r="AF21" s="120" t="str">
        <f>+VLOOKUP(AE21,Datos!$J$4:$K$28,2,)</f>
        <v>ALTO</v>
      </c>
      <c r="AG21" s="368"/>
      <c r="AH21" s="2"/>
      <c r="AI21" s="318"/>
      <c r="AJ21" s="264"/>
      <c r="AK21" s="362"/>
      <c r="AM21" s="205"/>
      <c r="AN21" s="204"/>
      <c r="AO21" s="204"/>
      <c r="AP21" s="234"/>
      <c r="AQ21" s="233"/>
      <c r="AR21" s="186"/>
      <c r="AS21" s="95"/>
      <c r="AT21" s="100"/>
    </row>
    <row r="22" spans="1:56" ht="210.75" customHeight="1">
      <c r="A22" s="483"/>
      <c r="B22" s="484"/>
      <c r="C22" s="485"/>
      <c r="D22" s="485"/>
      <c r="E22" s="487"/>
      <c r="F22" s="488"/>
      <c r="G22" s="484"/>
      <c r="H22" s="345"/>
      <c r="I22" s="357"/>
      <c r="J22" s="320"/>
      <c r="K22" s="342"/>
      <c r="L22" s="345"/>
      <c r="M22" s="357"/>
      <c r="N22" s="357"/>
      <c r="O22" s="365"/>
      <c r="P22" s="103"/>
      <c r="Q22" s="104">
        <v>3</v>
      </c>
      <c r="R22" s="162" t="s">
        <v>103</v>
      </c>
      <c r="S22" s="105" t="str">
        <f t="shared" ref="S22:S27" si="16">IF(OR(T22="Preventivo",T22="Detectivo"),"Probabilidad",IF(T22="Correctivo","Impacto",""))</f>
        <v>Probabilidad</v>
      </c>
      <c r="T22" s="114" t="s">
        <v>64</v>
      </c>
      <c r="U22" s="114" t="s">
        <v>65</v>
      </c>
      <c r="V22" s="107" t="str">
        <f t="shared" ref="V22:V23" si="17">IF(AND(T22="Preventivo",U22="Automático"),"50%",IF(AND(T22="Preventivo",U22="Manual"),"40%",IF(AND(T22="Detectivo",U22="Automático"),"40%",IF(AND(T22="Detectivo",U22="Manual"),"30%",IF(AND(T22="Correctivo",U22="Automático"),"35%",IF(AND(T22="Correctivo",U22="Manual"),"25%",""))))))</f>
        <v>30%</v>
      </c>
      <c r="W22" s="108" t="s">
        <v>97</v>
      </c>
      <c r="X22" s="108" t="s">
        <v>104</v>
      </c>
      <c r="Y22" s="173" t="s">
        <v>105</v>
      </c>
      <c r="Z22" s="115">
        <f>IFERROR(IF(AND(S21="Probabilidad",S22="Probabilidad"),(AB21-(+AB21*V22)),IF(S22="Probabilidad",($I$20-(+$I$20*V22)),IF(S22="Impacto",AB21,""))),"")</f>
        <v>0.27440000000000003</v>
      </c>
      <c r="AA22" s="116" t="str">
        <f t="shared" ref="AA22" si="18">IFERROR(IF(Z22="","",IF(Z22&lt;=0.2,"Muy Baja",IF(Z22&lt;=0.4,"Baja",IF(Z22&lt;=0.6,"Media",IF(Z22&lt;=0.8,"Alta","Muy Alta"))))),"")</f>
        <v>Baja</v>
      </c>
      <c r="AB22" s="115">
        <f t="shared" ref="AB22" si="19">+Z22</f>
        <v>0.27440000000000003</v>
      </c>
      <c r="AC22" s="118" t="str">
        <f t="shared" ref="AC22" si="20">IFERROR(IF(AD22="","",IF(AD22&lt;=0.2,"Leve",IF(AD22&lt;=0.4,"Menor",IF(AD22&lt;=0.6,"Moderado",IF(AD22&lt;=0.8,"Mayor","Catastrófico"))))),"")</f>
        <v>Mayor</v>
      </c>
      <c r="AD22" s="115">
        <f>IFERROR(IF(AND(S21="Impacto",S21="Impacto"),(AD21-(+AD21*V22)),IF(S22="Impacto",($M$20-(+$M$20*V22)),IF(S22="Probabilidad",AD21,""))),"")</f>
        <v>0.8</v>
      </c>
      <c r="AE22" s="119" t="str">
        <f t="shared" ref="AE22" si="21">+CONCATENATE(AA22, " - ", AC22)</f>
        <v>Baja - Mayor</v>
      </c>
      <c r="AF22" s="120" t="str">
        <f>+VLOOKUP(AE22,Datos!$J$4:$K$28,2,)</f>
        <v>ALTO</v>
      </c>
      <c r="AG22" s="368"/>
      <c r="AH22" s="2"/>
      <c r="AI22" s="318"/>
      <c r="AJ22" s="264"/>
      <c r="AK22" s="362"/>
      <c r="AM22" s="205"/>
      <c r="AN22" s="204"/>
      <c r="AO22" s="204"/>
      <c r="AP22" s="234"/>
      <c r="AQ22" s="233"/>
      <c r="AR22" s="186"/>
      <c r="AS22" s="94"/>
      <c r="AT22" s="101"/>
    </row>
    <row r="23" spans="1:56" ht="276" customHeight="1">
      <c r="A23" s="483"/>
      <c r="B23" s="484"/>
      <c r="C23" s="485"/>
      <c r="D23" s="485"/>
      <c r="E23" s="487"/>
      <c r="F23" s="488"/>
      <c r="G23" s="484"/>
      <c r="H23" s="345"/>
      <c r="I23" s="357"/>
      <c r="J23" s="320"/>
      <c r="K23" s="342"/>
      <c r="L23" s="345"/>
      <c r="M23" s="357"/>
      <c r="N23" s="357"/>
      <c r="O23" s="365"/>
      <c r="P23" s="103"/>
      <c r="Q23" s="121">
        <v>4</v>
      </c>
      <c r="R23" s="163" t="s">
        <v>106</v>
      </c>
      <c r="S23" s="105" t="str">
        <f t="shared" si="16"/>
        <v>Impacto</v>
      </c>
      <c r="T23" s="122" t="s">
        <v>86</v>
      </c>
      <c r="U23" s="122" t="s">
        <v>65</v>
      </c>
      <c r="V23" s="107" t="str">
        <f t="shared" si="17"/>
        <v>25%</v>
      </c>
      <c r="W23" s="108" t="s">
        <v>97</v>
      </c>
      <c r="X23" s="123" t="s">
        <v>107</v>
      </c>
      <c r="Y23" s="175" t="s">
        <v>108</v>
      </c>
      <c r="Z23" s="115">
        <f>IFERROR(IF(AND(S22="Probabilidad",S23="Probabilidad"),(AB22-(+AB22*V23)),IF(S23="Probabilidad",($I$20-(+$I$20*V23)),IF(S23="Impacto",AB22,""))),"")</f>
        <v>0.27440000000000003</v>
      </c>
      <c r="AA23" s="116" t="str">
        <f t="shared" ref="AA23:AA24" si="22">IFERROR(IF(Z23="","",IF(Z23&lt;=0.2,"Muy Baja",IF(Z23&lt;=0.4,"Baja",IF(Z23&lt;=0.6,"Media",IF(Z23&lt;=0.8,"Alta","Muy Alta"))))),"")</f>
        <v>Baja</v>
      </c>
      <c r="AB23" s="115">
        <f t="shared" ref="AB23" si="23">+Z23</f>
        <v>0.27440000000000003</v>
      </c>
      <c r="AC23" s="118" t="str">
        <f t="shared" ref="AC23" si="24">IFERROR(IF(AD23="","",IF(AD23&lt;=0.2,"Leve",IF(AD23&lt;=0.4,"Menor",IF(AD23&lt;=0.6,"Moderado",IF(AD23&lt;=0.8,"Mayor","Catastrófico"))))),"")</f>
        <v>Moderado</v>
      </c>
      <c r="AD23" s="115">
        <f>IFERROR(IF(AND(S22="Impacto",S22="Impacto"),(AD22-(+AD22*V23)),IF(S23="Impacto",($M$20-(+$M$20*V23)),IF(S23="Probabilidad",AD22,""))),"")</f>
        <v>0.60000000000000009</v>
      </c>
      <c r="AE23" s="119" t="str">
        <f t="shared" ref="AE23" si="25">+CONCATENATE(AA23, " - ", AC23)</f>
        <v>Baja - Moderado</v>
      </c>
      <c r="AF23" s="120" t="str">
        <f>+VLOOKUP(AE23,Datos!$J$4:$K$28,2,)</f>
        <v>MODERADO</v>
      </c>
      <c r="AG23" s="368"/>
      <c r="AH23" s="2"/>
      <c r="AI23" s="318"/>
      <c r="AJ23" s="264"/>
      <c r="AK23" s="362"/>
      <c r="AM23" s="205"/>
      <c r="AN23" s="204"/>
      <c r="AO23" s="204"/>
      <c r="AP23" s="234"/>
      <c r="AQ23" s="233"/>
      <c r="AR23" s="186"/>
      <c r="AS23" s="95"/>
      <c r="AT23" s="101"/>
    </row>
    <row r="24" spans="1:56" ht="24" customHeight="1">
      <c r="A24" s="440"/>
      <c r="B24" s="452"/>
      <c r="C24" s="443"/>
      <c r="D24" s="443"/>
      <c r="E24" s="446"/>
      <c r="F24" s="449"/>
      <c r="G24" s="452"/>
      <c r="H24" s="346"/>
      <c r="I24" s="358"/>
      <c r="J24" s="321"/>
      <c r="K24" s="343"/>
      <c r="L24" s="346"/>
      <c r="M24" s="358"/>
      <c r="N24" s="364"/>
      <c r="O24" s="366"/>
      <c r="P24" s="124"/>
      <c r="Q24" s="125">
        <v>5</v>
      </c>
      <c r="R24" s="164" t="s">
        <v>109</v>
      </c>
      <c r="S24" s="105" t="str">
        <f t="shared" si="16"/>
        <v>Impacto</v>
      </c>
      <c r="T24" s="126" t="s">
        <v>86</v>
      </c>
      <c r="U24" s="126" t="s">
        <v>65</v>
      </c>
      <c r="V24" s="127" t="str">
        <f t="shared" si="11"/>
        <v>25%</v>
      </c>
      <c r="W24" s="128" t="s">
        <v>110</v>
      </c>
      <c r="X24" s="129" t="s">
        <v>111</v>
      </c>
      <c r="Y24" s="176" t="s">
        <v>112</v>
      </c>
      <c r="Z24" s="130">
        <f>IFERROR(IF(AND(S23="Probabilidad",S24="Probabilidad"),(AB23-(+AB23*V24)),IF(S24="Probabilidad",($I$20-(+$I$20*V24)),IF(S24="Impacto",AB23,""))),"")</f>
        <v>0.27440000000000003</v>
      </c>
      <c r="AA24" s="131" t="str">
        <f t="shared" si="22"/>
        <v>Baja</v>
      </c>
      <c r="AB24" s="132">
        <f t="shared" si="2"/>
        <v>0.27440000000000003</v>
      </c>
      <c r="AC24" s="133" t="str">
        <f t="shared" si="3"/>
        <v>Moderado</v>
      </c>
      <c r="AD24" s="134">
        <f>IFERROR(IF(AND(S24="Impacto",S24="Impacto"),(AD23-(+AD23*V24)),IF(S24="Impacto",(M20-(+M20*V24)),IF(S24="Probabilidad",AD23,""))),"")</f>
        <v>0.45000000000000007</v>
      </c>
      <c r="AE24" s="135" t="str">
        <f t="shared" ref="AE24" si="26">+CONCATENATE(AA24, " - ", AC24)</f>
        <v>Baja - Moderado</v>
      </c>
      <c r="AF24" s="136" t="str">
        <f>+VLOOKUP(AE24,Datos!$J$4:$K$28,2,)</f>
        <v>MODERADO</v>
      </c>
      <c r="AG24" s="369"/>
      <c r="AH24" s="40"/>
      <c r="AI24" s="319"/>
      <c r="AJ24" s="265"/>
      <c r="AK24" s="363"/>
      <c r="AL24" s="82"/>
      <c r="AM24" s="206"/>
      <c r="AN24" s="235"/>
      <c r="AO24" s="236"/>
      <c r="AP24" s="237"/>
      <c r="AQ24" s="238"/>
      <c r="AR24" s="187"/>
      <c r="AS24" s="95"/>
      <c r="AT24" s="102"/>
    </row>
    <row r="25" spans="1:56" ht="408.75" customHeight="1">
      <c r="A25" s="465">
        <v>2</v>
      </c>
      <c r="B25" s="466" t="s">
        <v>58</v>
      </c>
      <c r="C25" s="467" t="s">
        <v>113</v>
      </c>
      <c r="D25" s="467" t="s">
        <v>114</v>
      </c>
      <c r="E25" s="468" t="s">
        <v>115</v>
      </c>
      <c r="F25" s="472"/>
      <c r="G25" s="466">
        <v>5001</v>
      </c>
      <c r="H25" s="473" t="str">
        <f>IF(G25&lt;=0,"",IF(G25&lt;=2,"Muy Baja",IF(G25&lt;=24,"Baja",IF(G25&lt;=500,"Media",IF(G25&lt;=5000,"Alta","Muy Alta")))))</f>
        <v>Muy Alta</v>
      </c>
      <c r="I25" s="474">
        <f>IF(H25="","",IF(H25="Muy Baja",0.2,IF(H25="Baja",0.4,IF(H25="Media",0.6,IF(H25="Alta",0.8,IF(H25="Muy Alta",1,))))))</f>
        <v>1</v>
      </c>
      <c r="J25" s="323" t="s">
        <v>62</v>
      </c>
      <c r="K25" s="326" t="str">
        <f>+J25</f>
        <v>El riesgo afecta la imagen de la entidad con algunos usuarios de relevancia frente al logro de los objetivos.</v>
      </c>
      <c r="L25" s="475" t="str">
        <f>+VLOOKUP(K25,Datos!$O$4:$P$15,2,FALSE)</f>
        <v>Moderado</v>
      </c>
      <c r="M25" s="474">
        <f>IF(L25="","",IF(L25="Leve",0.2,IF(L25="Menor",0.4,IF(L25="Moderado",0.6,IF(L25="Mayor",0.8,IF(L25="Catastrófico",1,))))))</f>
        <v>0.6</v>
      </c>
      <c r="N25" s="329" t="str">
        <f>+CONCATENATE(H25, " - ", L25)</f>
        <v>Muy Alta - Moderado</v>
      </c>
      <c r="O25" s="354" t="str">
        <f>+VLOOKUP(N25,Datos!$J$4:$K$28,2,)</f>
        <v>ALTO</v>
      </c>
      <c r="P25" s="2"/>
      <c r="Q25" s="35">
        <v>1</v>
      </c>
      <c r="R25" s="198" t="s">
        <v>116</v>
      </c>
      <c r="S25" s="52" t="str">
        <f t="shared" si="16"/>
        <v>Probabilidad</v>
      </c>
      <c r="T25" s="22" t="s">
        <v>64</v>
      </c>
      <c r="U25" s="22" t="s">
        <v>65</v>
      </c>
      <c r="V25" s="56" t="str">
        <f t="shared" si="11"/>
        <v>30%</v>
      </c>
      <c r="W25" s="96" t="s">
        <v>110</v>
      </c>
      <c r="X25" s="23" t="s">
        <v>117</v>
      </c>
      <c r="Y25" s="172" t="s">
        <v>118</v>
      </c>
      <c r="Z25" s="58">
        <f>IFERROR(IF(S25="Probabilidad",(I25-(+I25*V25)),IF(S25="Impacto",I25,"")),"")</f>
        <v>0.7</v>
      </c>
      <c r="AA25" s="59" t="str">
        <f t="shared" ref="AA25:AA29" si="27">IFERROR(IF(Z25="","",IF(Z25&lt;=0.2,"Muy Baja",IF(Z25&lt;=0.4,"Baja",IF(Z25&lt;=0.6,"Media",IF(Z25&lt;=0.8,"Alta","Muy Alta"))))),"")</f>
        <v>Alta</v>
      </c>
      <c r="AB25" s="75">
        <f t="shared" ref="AB25:AB29" si="28">+Z25</f>
        <v>0.7</v>
      </c>
      <c r="AC25" s="76" t="str">
        <f t="shared" ref="AC25:AC29" si="29">IFERROR(IF(AD25="","",IF(AD25&lt;=0.2,"Leve",IF(AD25&lt;=0.4,"Menor",IF(AD25&lt;=0.6,"Moderado",IF(AD25&lt;=0.8,"Mayor","Catastrófico"))))),"")</f>
        <v>Moderado</v>
      </c>
      <c r="AD25" s="73">
        <f>IFERROR(IF(S25="Impacto",(M25-(+M25*V25)),IF(S25="Probabilidad",M25,"")),"")</f>
        <v>0.6</v>
      </c>
      <c r="AE25" s="77" t="str">
        <f>+CONCATENATE(AA25, " - ", AC25)</f>
        <v>Alta - Moderado</v>
      </c>
      <c r="AF25" s="81" t="str">
        <f>+VLOOKUP(AE25,Datos!$J$4:$K$28,2,)</f>
        <v>ALTO</v>
      </c>
      <c r="AG25" s="469" t="s">
        <v>69</v>
      </c>
      <c r="AH25" s="2"/>
      <c r="AI25" s="336" t="s">
        <v>70</v>
      </c>
      <c r="AJ25" s="339" t="s">
        <v>71</v>
      </c>
      <c r="AK25" s="359" t="s">
        <v>72</v>
      </c>
      <c r="AM25" s="377">
        <v>45791</v>
      </c>
      <c r="AN25" s="210" t="s">
        <v>119</v>
      </c>
      <c r="AO25" s="223" t="s">
        <v>74</v>
      </c>
      <c r="AP25" s="204" t="s">
        <v>75</v>
      </c>
      <c r="AQ25" s="231" t="s">
        <v>120</v>
      </c>
      <c r="AR25" s="260"/>
      <c r="AS25" s="272" t="s">
        <v>121</v>
      </c>
      <c r="AT25" s="252" t="s">
        <v>122</v>
      </c>
      <c r="AV25" s="27"/>
      <c r="AW25" s="27"/>
      <c r="AX25" s="27"/>
      <c r="AY25" s="27"/>
      <c r="AZ25" s="27"/>
      <c r="BA25" s="27"/>
      <c r="BB25" s="27"/>
      <c r="BC25" s="27"/>
      <c r="BD25" s="27"/>
    </row>
    <row r="26" spans="1:56" ht="243.75" customHeight="1">
      <c r="A26" s="453"/>
      <c r="B26" s="462"/>
      <c r="C26" s="455"/>
      <c r="D26" s="455"/>
      <c r="E26" s="457"/>
      <c r="F26" s="459"/>
      <c r="G26" s="462"/>
      <c r="H26" s="436"/>
      <c r="I26" s="416"/>
      <c r="J26" s="323"/>
      <c r="K26" s="326"/>
      <c r="L26" s="476"/>
      <c r="M26" s="416"/>
      <c r="N26" s="329"/>
      <c r="O26" s="354"/>
      <c r="P26" s="2"/>
      <c r="Q26" s="8">
        <v>2</v>
      </c>
      <c r="R26" s="211" t="s">
        <v>123</v>
      </c>
      <c r="S26" s="53" t="str">
        <f t="shared" si="16"/>
        <v>Impacto</v>
      </c>
      <c r="T26" s="36" t="s">
        <v>86</v>
      </c>
      <c r="U26" s="36" t="s">
        <v>65</v>
      </c>
      <c r="V26" s="57" t="str">
        <f t="shared" si="11"/>
        <v>25%</v>
      </c>
      <c r="W26" s="97" t="s">
        <v>110</v>
      </c>
      <c r="X26" s="37" t="s">
        <v>124</v>
      </c>
      <c r="Y26" s="177" t="s">
        <v>125</v>
      </c>
      <c r="Z26" s="63">
        <f>IFERROR(IF(AND(S25="Probabilidad",S26="Probabilidad"),(AB25-(+AB25*V26)),IF(S26="Probabilidad",(I25-(+I25*V26)),IF(S26="Impacto",AB25,""))),"")</f>
        <v>0.7</v>
      </c>
      <c r="AA26" s="64" t="str">
        <f t="shared" si="27"/>
        <v>Alta</v>
      </c>
      <c r="AB26" s="65">
        <f t="shared" si="28"/>
        <v>0.7</v>
      </c>
      <c r="AC26" s="66" t="str">
        <f t="shared" si="29"/>
        <v>Moderado</v>
      </c>
      <c r="AD26" s="63">
        <f>IFERROR(IF(AND(S25="Impacto",S25="Impacto"),(AD25-(+AD25*V26)),IF(S26="Impacto",(M25-(+M25*V26)),IF(S26="Probabilidad",AD25,""))),"")</f>
        <v>0.44999999999999996</v>
      </c>
      <c r="AE26" s="67" t="str">
        <f t="shared" ref="AE26:AE27" si="30">+CONCATENATE(AA26, " - ", AC26)</f>
        <v>Alta - Moderado</v>
      </c>
      <c r="AF26" s="79" t="str">
        <f>+VLOOKUP(AE26,Datos!$J$4:$K$28,2,)</f>
        <v>ALTO</v>
      </c>
      <c r="AG26" s="470"/>
      <c r="AH26" s="2"/>
      <c r="AI26" s="337"/>
      <c r="AJ26" s="340"/>
      <c r="AK26" s="360"/>
      <c r="AM26" s="378"/>
      <c r="AN26" s="209" t="s">
        <v>126</v>
      </c>
      <c r="AO26" s="204" t="s">
        <v>74</v>
      </c>
      <c r="AP26" s="204" t="s">
        <v>75</v>
      </c>
      <c r="AQ26" s="201" t="s">
        <v>127</v>
      </c>
      <c r="AR26" s="260"/>
      <c r="AS26" s="273"/>
      <c r="AT26" s="253"/>
      <c r="AV26" s="27"/>
      <c r="AW26" s="27"/>
      <c r="AX26" s="27"/>
      <c r="AY26" s="27"/>
      <c r="AZ26" s="27"/>
      <c r="BA26" s="27"/>
      <c r="BB26" s="27"/>
      <c r="BC26" s="27"/>
      <c r="BD26" s="27"/>
    </row>
    <row r="27" spans="1:56" ht="405.75" customHeight="1">
      <c r="A27" s="396"/>
      <c r="B27" s="463"/>
      <c r="C27" s="351"/>
      <c r="D27" s="351"/>
      <c r="E27" s="401"/>
      <c r="F27" s="405"/>
      <c r="G27" s="463"/>
      <c r="H27" s="348"/>
      <c r="I27" s="334"/>
      <c r="J27" s="323"/>
      <c r="K27" s="326"/>
      <c r="L27" s="477"/>
      <c r="M27" s="334"/>
      <c r="N27" s="329"/>
      <c r="O27" s="354"/>
      <c r="P27" s="2"/>
      <c r="Q27" s="47">
        <v>3</v>
      </c>
      <c r="R27" s="212" t="s">
        <v>128</v>
      </c>
      <c r="S27" s="51" t="str">
        <f t="shared" si="16"/>
        <v>Impacto</v>
      </c>
      <c r="T27" s="6" t="s">
        <v>86</v>
      </c>
      <c r="U27" s="6" t="s">
        <v>65</v>
      </c>
      <c r="V27" s="55" t="str">
        <f t="shared" si="11"/>
        <v>25%</v>
      </c>
      <c r="W27" s="98" t="s">
        <v>110</v>
      </c>
      <c r="X27" s="37" t="s">
        <v>124</v>
      </c>
      <c r="Y27" s="177" t="s">
        <v>125</v>
      </c>
      <c r="Z27" s="63">
        <f>IFERROR(IF(AND(S26="Probabilidad",S27="Probabilidad"),(AB26-(+AB26*V27)),IF(S27="Probabilidad",(I26-(+I26*V27)),IF(S27="Impacto",AB26,""))),"")</f>
        <v>0.7</v>
      </c>
      <c r="AA27" s="64" t="str">
        <f t="shared" si="27"/>
        <v>Alta</v>
      </c>
      <c r="AB27" s="65">
        <f t="shared" si="28"/>
        <v>0.7</v>
      </c>
      <c r="AC27" s="66" t="str">
        <f t="shared" si="29"/>
        <v>Menor</v>
      </c>
      <c r="AD27" s="63">
        <f>IFERROR(IF(AND(S26="Impacto",S26="Impacto"),(AD26-(+AD26*V27)),IF(S27="Impacto",(M24-(+M24*V27)),IF(S27="Probabilidad",AD26,""))),"")</f>
        <v>0.33749999999999997</v>
      </c>
      <c r="AE27" s="67" t="str">
        <f t="shared" si="30"/>
        <v>Alta - Menor</v>
      </c>
      <c r="AF27" s="79" t="str">
        <f>+VLOOKUP(AE27,Datos!$J$4:$K$28,2,)</f>
        <v>MODERADO</v>
      </c>
      <c r="AG27" s="471"/>
      <c r="AH27" s="2"/>
      <c r="AI27" s="338"/>
      <c r="AJ27" s="341"/>
      <c r="AK27" s="361"/>
      <c r="AM27" s="378"/>
      <c r="AN27" s="204" t="s">
        <v>129</v>
      </c>
      <c r="AO27" s="204" t="s">
        <v>74</v>
      </c>
      <c r="AP27" s="204" t="s">
        <v>75</v>
      </c>
      <c r="AQ27" s="204" t="s">
        <v>74</v>
      </c>
      <c r="AR27" s="260"/>
      <c r="AS27" s="273"/>
      <c r="AT27" s="253"/>
      <c r="AV27" s="27"/>
      <c r="AW27" s="27"/>
      <c r="AX27" s="27"/>
      <c r="AY27" s="27"/>
      <c r="AZ27" s="27"/>
      <c r="BA27" s="27"/>
      <c r="BB27" s="27"/>
      <c r="BC27" s="27"/>
      <c r="BD27" s="27"/>
    </row>
    <row r="28" spans="1:56" ht="263.25" customHeight="1">
      <c r="A28" s="394">
        <v>3</v>
      </c>
      <c r="B28" s="350" t="s">
        <v>58</v>
      </c>
      <c r="C28" s="350" t="s">
        <v>130</v>
      </c>
      <c r="D28" s="350" t="s">
        <v>131</v>
      </c>
      <c r="E28" s="399" t="s">
        <v>132</v>
      </c>
      <c r="F28" s="403"/>
      <c r="G28" s="461">
        <v>5001</v>
      </c>
      <c r="H28" s="347" t="str">
        <f>IF(G28&lt;=0,"",IF(G28&lt;=2,"Muy Baja",IF(G28&lt;=24,"Baja",IF(G28&lt;=500,"Media",IF(G28&lt;=5000,"Alta","Muy Alta")))))</f>
        <v>Muy Alta</v>
      </c>
      <c r="I28" s="333">
        <f>IF(H28="","",IF(H28="Muy Baja",0.2,IF(H28="Baja",0.4,IF(H28="Media",0.6,IF(H28="Alta",0.8,IF(H28="Muy Alta",1,))))))</f>
        <v>1</v>
      </c>
      <c r="J28" s="322" t="s">
        <v>62</v>
      </c>
      <c r="K28" s="325" t="str">
        <f>+J28</f>
        <v>El riesgo afecta la imagen de la entidad con algunos usuarios de relevancia frente al logro de los objetivos.</v>
      </c>
      <c r="L28" s="347" t="str">
        <f>+VLOOKUP(K28,Datos!$O$4:$P$15,2,FALSE)</f>
        <v>Moderado</v>
      </c>
      <c r="M28" s="333">
        <f>IF(L28="","",IF(L28="Leve",0.2,IF(L28="Menor",0.4,IF(L28="Moderado",0.6,IF(L28="Mayor",0.8,IF(L28="Catastrófico",1,))))))</f>
        <v>0.6</v>
      </c>
      <c r="N28" s="328" t="str">
        <f>+CONCATENATE(H28, " - ", L28)</f>
        <v>Muy Alta - Moderado</v>
      </c>
      <c r="O28" s="353" t="str">
        <f>+VLOOKUP(N28,Datos!$J$4:$K$28,2,)</f>
        <v>ALTO</v>
      </c>
      <c r="P28" s="38"/>
      <c r="Q28" s="21">
        <v>1</v>
      </c>
      <c r="R28" s="200" t="s">
        <v>133</v>
      </c>
      <c r="S28" s="50" t="str">
        <f>IF(OR(T28="Preventivo",T28="Detectivo"),"Probabilidad",IF(T28="Correctivo","Impacto",""))</f>
        <v>Probabilidad</v>
      </c>
      <c r="T28" s="39" t="s">
        <v>80</v>
      </c>
      <c r="U28" s="39" t="s">
        <v>65</v>
      </c>
      <c r="V28" s="54" t="str">
        <f t="shared" ref="V28:V42" si="31">IF(AND(T28="Preventivo",U28="Automático"),"50%",IF(AND(T28="Preventivo",U28="Manual"),"40%",IF(AND(T28="Detectivo",U28="Automático"),"40%",IF(AND(T28="Detectivo",U28="Manual"),"30%",IF(AND(T28="Correctivo",U28="Automático"),"35%",IF(AND(T28="Correctivo",U28="Manual"),"25%",""))))))</f>
        <v>40%</v>
      </c>
      <c r="W28" s="137" t="s">
        <v>110</v>
      </c>
      <c r="X28" s="84" t="s">
        <v>134</v>
      </c>
      <c r="Y28" s="178" t="s">
        <v>135</v>
      </c>
      <c r="Z28" s="58">
        <f>IFERROR(IF(S28="Probabilidad",(I28-(+I28*V28)),IF(S28="Impacto",I28,"")),"")</f>
        <v>0.6</v>
      </c>
      <c r="AA28" s="59" t="str">
        <f t="shared" si="27"/>
        <v>Media</v>
      </c>
      <c r="AB28" s="60">
        <f t="shared" si="28"/>
        <v>0.6</v>
      </c>
      <c r="AC28" s="61" t="str">
        <f t="shared" si="29"/>
        <v>Moderado</v>
      </c>
      <c r="AD28" s="58">
        <f>IFERROR(IF(S28="Impacto",(M28-(+M28*V28)),IF(S28="Probabilidad",M28,"")),"")</f>
        <v>0.6</v>
      </c>
      <c r="AE28" s="62" t="str">
        <f>+CONCATENATE(AA28, " - ", AC28)</f>
        <v>Media - Moderado</v>
      </c>
      <c r="AF28" s="78" t="str">
        <f>+VLOOKUP(AE28,Datos!$J$4:$K$28,2,)</f>
        <v>MODERADO</v>
      </c>
      <c r="AG28" s="423" t="s">
        <v>136</v>
      </c>
      <c r="AH28" s="38"/>
      <c r="AI28" s="383" t="s">
        <v>137</v>
      </c>
      <c r="AJ28" s="88"/>
      <c r="AK28" s="89"/>
      <c r="AL28" s="86"/>
      <c r="AM28" s="414">
        <v>45791</v>
      </c>
      <c r="AN28" s="214" t="s">
        <v>138</v>
      </c>
      <c r="AO28" s="204" t="s">
        <v>74</v>
      </c>
      <c r="AP28" s="204" t="s">
        <v>74</v>
      </c>
      <c r="AQ28" s="204" t="s">
        <v>74</v>
      </c>
      <c r="AR28" s="259"/>
      <c r="AS28" s="274" t="s">
        <v>139</v>
      </c>
      <c r="AT28" s="251" t="s">
        <v>140</v>
      </c>
    </row>
    <row r="29" spans="1:56" ht="189" customHeight="1">
      <c r="A29" s="453"/>
      <c r="B29" s="455"/>
      <c r="C29" s="455"/>
      <c r="D29" s="455"/>
      <c r="E29" s="457"/>
      <c r="F29" s="459"/>
      <c r="G29" s="462"/>
      <c r="H29" s="436"/>
      <c r="I29" s="416"/>
      <c r="J29" s="323"/>
      <c r="K29" s="326"/>
      <c r="L29" s="436"/>
      <c r="M29" s="416"/>
      <c r="N29" s="329"/>
      <c r="O29" s="354"/>
      <c r="P29" s="2"/>
      <c r="Q29" s="8">
        <v>2</v>
      </c>
      <c r="R29" s="166" t="s">
        <v>141</v>
      </c>
      <c r="S29" s="51" t="str">
        <f t="shared" ref="S29:S42" si="32">IF(OR(T29="Preventivo",T29="Detectivo"),"Probabilidad",IF(T29="Correctivo","Impacto",""))</f>
        <v>Probabilidad</v>
      </c>
      <c r="T29" s="6" t="s">
        <v>80</v>
      </c>
      <c r="U29" s="6" t="s">
        <v>65</v>
      </c>
      <c r="V29" s="55" t="str">
        <f t="shared" si="31"/>
        <v>40%</v>
      </c>
      <c r="W29" s="98" t="s">
        <v>110</v>
      </c>
      <c r="X29" s="84" t="s">
        <v>134</v>
      </c>
      <c r="Y29" s="179" t="s">
        <v>142</v>
      </c>
      <c r="Z29" s="63">
        <f t="shared" ref="Z29:Z34" si="33">IFERROR(IF(AND(S28="Probabilidad",S29="Probabilidad"),(AB28-(+AB28*V29)),IF(S29="Probabilidad",($I$28-(+$I$28*V29)),IF(S29="Impacto",AB28,""))),"")</f>
        <v>0.36</v>
      </c>
      <c r="AA29" s="64" t="str">
        <f t="shared" si="27"/>
        <v>Baja</v>
      </c>
      <c r="AB29" s="65">
        <f t="shared" si="28"/>
        <v>0.36</v>
      </c>
      <c r="AC29" s="66" t="str">
        <f t="shared" si="29"/>
        <v>Moderado</v>
      </c>
      <c r="AD29" s="63">
        <f>IFERROR(IF(AND(S28="Impacto",S28="Impacto"),(AD28-(+AD28*V29)),IF(S29="Impacto",($M$28-(+$M$28*V29)),IF(S29="Probabilidad",AD28,""))),"")</f>
        <v>0.6</v>
      </c>
      <c r="AE29" s="67" t="str">
        <f t="shared" ref="AE29" si="34">+CONCATENATE(AA29, " - ", AC29)</f>
        <v>Baja - Moderado</v>
      </c>
      <c r="AF29" s="79" t="str">
        <f>+VLOOKUP(AE29,Datos!$J$4:$K$28,2,)</f>
        <v>MODERADO</v>
      </c>
      <c r="AG29" s="424"/>
      <c r="AH29" s="2"/>
      <c r="AI29" s="264"/>
      <c r="AJ29" s="93"/>
      <c r="AK29" s="138"/>
      <c r="AM29" s="415"/>
      <c r="AN29" s="203" t="s">
        <v>143</v>
      </c>
      <c r="AO29" s="215" t="s">
        <v>74</v>
      </c>
      <c r="AP29" s="216" t="s">
        <v>74</v>
      </c>
      <c r="AQ29" s="217" t="s">
        <v>74</v>
      </c>
      <c r="AR29" s="260"/>
      <c r="AS29" s="274"/>
      <c r="AT29" s="251"/>
    </row>
    <row r="30" spans="1:56" ht="276" customHeight="1">
      <c r="A30" s="396"/>
      <c r="B30" s="351"/>
      <c r="C30" s="351"/>
      <c r="D30" s="351"/>
      <c r="E30" s="401"/>
      <c r="F30" s="405"/>
      <c r="G30" s="463"/>
      <c r="H30" s="348"/>
      <c r="I30" s="334"/>
      <c r="J30" s="323"/>
      <c r="K30" s="326"/>
      <c r="L30" s="348"/>
      <c r="M30" s="334"/>
      <c r="N30" s="329"/>
      <c r="O30" s="354"/>
      <c r="P30" s="2"/>
      <c r="Q30" s="47">
        <v>3</v>
      </c>
      <c r="R30" s="207" t="s">
        <v>144</v>
      </c>
      <c r="S30" s="51" t="str">
        <f t="shared" ref="S30:S37" si="35">IF(OR(T30="Preventivo",T30="Detectivo"),"Probabilidad",IF(T30="Correctivo","Impacto",""))</f>
        <v>Probabilidad</v>
      </c>
      <c r="T30" s="48" t="s">
        <v>80</v>
      </c>
      <c r="U30" s="48" t="s">
        <v>65</v>
      </c>
      <c r="V30" s="55" t="str">
        <f t="shared" ref="V30:V37" si="36">IF(AND(T30="Preventivo",U30="Automático"),"50%",IF(AND(T30="Preventivo",U30="Manual"),"40%",IF(AND(T30="Detectivo",U30="Automático"),"40%",IF(AND(T30="Detectivo",U30="Manual"),"30%",IF(AND(T30="Correctivo",U30="Automático"),"35%",IF(AND(T30="Correctivo",U30="Manual"),"25%",""))))))</f>
        <v>40%</v>
      </c>
      <c r="W30" s="194" t="s">
        <v>145</v>
      </c>
      <c r="X30" s="48" t="s">
        <v>82</v>
      </c>
      <c r="Y30" s="171" t="s">
        <v>146</v>
      </c>
      <c r="Z30" s="63">
        <f t="shared" si="33"/>
        <v>0.216</v>
      </c>
      <c r="AA30" s="64" t="str">
        <f t="shared" ref="AA30:AA39" si="37">IFERROR(IF(Z30="","",IF(Z30&lt;=0.2,"Muy Baja",IF(Z30&lt;=0.4,"Baja",IF(Z30&lt;=0.6,"Media",IF(Z30&lt;=0.8,"Alta","Muy Alta"))))),"")</f>
        <v>Baja</v>
      </c>
      <c r="AB30" s="65">
        <f t="shared" ref="AB30:AB39" si="38">+Z30</f>
        <v>0.216</v>
      </c>
      <c r="AC30" s="66" t="str">
        <f t="shared" ref="AC30:AC39" si="39">IFERROR(IF(AD30="","",IF(AD30&lt;=0.2,"Leve",IF(AD30&lt;=0.4,"Menor",IF(AD30&lt;=0.6,"Moderado",IF(AD30&lt;=0.8,"Mayor","Catastrófico"))))),"")</f>
        <v>Moderado</v>
      </c>
      <c r="AD30" s="63">
        <f t="shared" ref="AD30:AD34" si="40">IFERROR(IF(AND(S29="Impacto",S29="Impacto"),(AD29-(+AD29*V30)),IF(S30="Impacto",($M$28-(+$M$28*V30)),IF(S30="Probabilidad",AD29,""))),"")</f>
        <v>0.6</v>
      </c>
      <c r="AE30" s="67" t="str">
        <f t="shared" ref="AE30:AE37" si="41">+CONCATENATE(AA30, " - ", AC30)</f>
        <v>Baja - Moderado</v>
      </c>
      <c r="AF30" s="79" t="str">
        <f>+VLOOKUP(AE30,Datos!$J$4:$K$28,2,)</f>
        <v>MODERADO</v>
      </c>
      <c r="AG30" s="425"/>
      <c r="AH30" s="2"/>
      <c r="AI30" s="264"/>
      <c r="AJ30" s="93"/>
      <c r="AK30" s="138"/>
      <c r="AM30" s="415"/>
      <c r="AN30" s="218" t="s">
        <v>147</v>
      </c>
      <c r="AO30" s="219" t="s">
        <v>74</v>
      </c>
      <c r="AP30" s="220" t="s">
        <v>75</v>
      </c>
      <c r="AQ30" s="217" t="s">
        <v>74</v>
      </c>
      <c r="AR30" s="260"/>
      <c r="AS30" s="274"/>
      <c r="AT30" s="251"/>
    </row>
    <row r="31" spans="1:56" ht="233.25" customHeight="1">
      <c r="A31" s="396"/>
      <c r="B31" s="351"/>
      <c r="C31" s="351"/>
      <c r="D31" s="351"/>
      <c r="E31" s="401"/>
      <c r="F31" s="405"/>
      <c r="G31" s="463"/>
      <c r="H31" s="348"/>
      <c r="I31" s="334"/>
      <c r="J31" s="323"/>
      <c r="K31" s="326"/>
      <c r="L31" s="348"/>
      <c r="M31" s="334"/>
      <c r="N31" s="329"/>
      <c r="O31" s="354"/>
      <c r="P31" s="2"/>
      <c r="Q31" s="47">
        <v>4</v>
      </c>
      <c r="R31" s="199" t="s">
        <v>148</v>
      </c>
      <c r="S31" s="51" t="str">
        <f t="shared" ref="S31" si="42">IF(OR(T31="Preventivo",T31="Detectivo"),"Probabilidad",IF(T31="Correctivo","Impacto",""))</f>
        <v>Probabilidad</v>
      </c>
      <c r="T31" s="48" t="s">
        <v>80</v>
      </c>
      <c r="U31" s="48" t="s">
        <v>65</v>
      </c>
      <c r="V31" s="55" t="str">
        <f t="shared" ref="V31" si="43">IF(AND(T31="Preventivo",U31="Automático"),"50%",IF(AND(T31="Preventivo",U31="Manual"),"40%",IF(AND(T31="Detectivo",U31="Automático"),"40%",IF(AND(T31="Detectivo",U31="Manual"),"30%",IF(AND(T31="Correctivo",U31="Automático"),"35%",IF(AND(T31="Correctivo",U31="Manual"),"25%",""))))))</f>
        <v>40%</v>
      </c>
      <c r="W31" s="191" t="s">
        <v>149</v>
      </c>
      <c r="X31" s="48" t="s">
        <v>150</v>
      </c>
      <c r="Y31" s="171" t="s">
        <v>151</v>
      </c>
      <c r="Z31" s="63">
        <f>IFERROR(IF(AND(S30="Probabilidad",S31="Probabilidad"),(AB30-(+AB30*V31)),IF(S31="Probabilidad",($I$28-(+$I$28*V31)),IF(S31="Impacto",AB30,""))),"")</f>
        <v>0.12959999999999999</v>
      </c>
      <c r="AA31" s="64" t="str">
        <f t="shared" ref="AA31" si="44">IFERROR(IF(Z31="","",IF(Z31&lt;=0.2,"Muy Baja",IF(Z31&lt;=0.4,"Baja",IF(Z31&lt;=0.6,"Media",IF(Z31&lt;=0.8,"Alta","Muy Alta"))))),"")</f>
        <v>Muy Baja</v>
      </c>
      <c r="AB31" s="65">
        <f t="shared" ref="AB31" si="45">+Z31</f>
        <v>0.12959999999999999</v>
      </c>
      <c r="AC31" s="66" t="str">
        <f t="shared" ref="AC31" si="46">IFERROR(IF(AD31="","",IF(AD31&lt;=0.2,"Leve",IF(AD31&lt;=0.4,"Menor",IF(AD31&lt;=0.6,"Moderado",IF(AD31&lt;=0.8,"Mayor","Catastrófico"))))),"")</f>
        <v>Moderado</v>
      </c>
      <c r="AD31" s="63">
        <f>IFERROR(IF(AND(S29="Impacto",S29="Impacto"),(AD29-(+AD29*V31)),IF(S31="Impacto",($M$28-(+$M$28*V31)),IF(S31="Probabilidad",AD29,""))),"")</f>
        <v>0.6</v>
      </c>
      <c r="AE31" s="67" t="str">
        <f t="shared" ref="AE31" si="47">+CONCATENATE(AA31, " - ", AC31)</f>
        <v>Muy Baja - Moderado</v>
      </c>
      <c r="AF31" s="79" t="str">
        <f>+VLOOKUP(AE31,Datos!$J$4:$K$28,2,)</f>
        <v>MODERADO</v>
      </c>
      <c r="AG31" s="425"/>
      <c r="AH31" s="2"/>
      <c r="AI31" s="264"/>
      <c r="AJ31" s="93"/>
      <c r="AK31" s="138"/>
      <c r="AM31" s="415"/>
      <c r="AN31" s="221" t="s">
        <v>152</v>
      </c>
      <c r="AO31" s="219" t="s">
        <v>74</v>
      </c>
      <c r="AP31" s="220" t="s">
        <v>75</v>
      </c>
      <c r="AQ31" s="217" t="s">
        <v>153</v>
      </c>
      <c r="AR31" s="260"/>
      <c r="AS31" s="274"/>
      <c r="AT31" s="251"/>
    </row>
    <row r="32" spans="1:56" ht="406.5" customHeight="1">
      <c r="A32" s="396"/>
      <c r="B32" s="351"/>
      <c r="C32" s="351"/>
      <c r="D32" s="351"/>
      <c r="E32" s="401"/>
      <c r="F32" s="405"/>
      <c r="G32" s="463"/>
      <c r="H32" s="348"/>
      <c r="I32" s="334"/>
      <c r="J32" s="323"/>
      <c r="K32" s="326"/>
      <c r="L32" s="348"/>
      <c r="M32" s="334"/>
      <c r="N32" s="329"/>
      <c r="O32" s="354"/>
      <c r="P32" s="2"/>
      <c r="Q32" s="47">
        <v>5</v>
      </c>
      <c r="R32" s="207" t="s">
        <v>154</v>
      </c>
      <c r="S32" s="51" t="str">
        <f t="shared" si="35"/>
        <v>Probabilidad</v>
      </c>
      <c r="T32" s="48" t="s">
        <v>64</v>
      </c>
      <c r="U32" s="48" t="s">
        <v>65</v>
      </c>
      <c r="V32" s="55" t="str">
        <f t="shared" si="36"/>
        <v>30%</v>
      </c>
      <c r="W32" s="191" t="s">
        <v>149</v>
      </c>
      <c r="X32" s="48" t="s">
        <v>104</v>
      </c>
      <c r="Y32" s="171" t="s">
        <v>155</v>
      </c>
      <c r="Z32" s="63">
        <f>IFERROR(IF(AND(S31="Probabilidad",S32="Probabilidad"),(AB31-(+AB31*V32)),IF(S32="Probabilidad",($I$28-(+$I$28*V32)),IF(S32="Impacto",AB31,""))),"")</f>
        <v>9.0719999999999995E-2</v>
      </c>
      <c r="AA32" s="64" t="str">
        <f t="shared" si="37"/>
        <v>Muy Baja</v>
      </c>
      <c r="AB32" s="65">
        <f t="shared" si="38"/>
        <v>9.0719999999999995E-2</v>
      </c>
      <c r="AC32" s="66" t="str">
        <f t="shared" si="39"/>
        <v>Moderado</v>
      </c>
      <c r="AD32" s="63">
        <f>IFERROR(IF(AND(S30="Impacto",S30="Impacto"),(AD30-(+AD30*V32)),IF(S32="Impacto",($M$28-(+$M$28*V32)),IF(S32="Probabilidad",AD30,""))),"")</f>
        <v>0.6</v>
      </c>
      <c r="AE32" s="67" t="str">
        <f t="shared" si="41"/>
        <v>Muy Baja - Moderado</v>
      </c>
      <c r="AF32" s="79" t="str">
        <f>+VLOOKUP(AE32,Datos!$J$4:$K$28,2,)</f>
        <v>MODERADO</v>
      </c>
      <c r="AG32" s="425"/>
      <c r="AH32" s="2"/>
      <c r="AI32" s="264"/>
      <c r="AJ32" s="261"/>
      <c r="AK32" s="426"/>
      <c r="AM32" s="415"/>
      <c r="AN32" s="221" t="s">
        <v>156</v>
      </c>
      <c r="AO32" s="219" t="s">
        <v>74</v>
      </c>
      <c r="AP32" s="220" t="s">
        <v>75</v>
      </c>
      <c r="AQ32" s="217" t="s">
        <v>74</v>
      </c>
      <c r="AR32" s="260"/>
      <c r="AS32" s="274"/>
      <c r="AT32" s="251"/>
    </row>
    <row r="33" spans="1:46" ht="234.75" customHeight="1">
      <c r="A33" s="396"/>
      <c r="B33" s="351"/>
      <c r="C33" s="351"/>
      <c r="D33" s="351"/>
      <c r="E33" s="401"/>
      <c r="F33" s="405"/>
      <c r="G33" s="463"/>
      <c r="H33" s="348"/>
      <c r="I33" s="334"/>
      <c r="J33" s="323"/>
      <c r="K33" s="326"/>
      <c r="L33" s="348"/>
      <c r="M33" s="334"/>
      <c r="N33" s="329"/>
      <c r="O33" s="354"/>
      <c r="P33" s="2"/>
      <c r="Q33" s="47">
        <v>6</v>
      </c>
      <c r="R33" s="207" t="s">
        <v>157</v>
      </c>
      <c r="S33" s="51" t="str">
        <f t="shared" si="35"/>
        <v>Probabilidad</v>
      </c>
      <c r="T33" s="48" t="s">
        <v>64</v>
      </c>
      <c r="U33" s="48" t="s">
        <v>65</v>
      </c>
      <c r="V33" s="55" t="str">
        <f t="shared" si="36"/>
        <v>30%</v>
      </c>
      <c r="W33" s="49" t="s">
        <v>158</v>
      </c>
      <c r="X33" s="48" t="s">
        <v>159</v>
      </c>
      <c r="Y33" s="188" t="s">
        <v>160</v>
      </c>
      <c r="Z33" s="63">
        <f t="shared" si="33"/>
        <v>6.3504000000000005E-2</v>
      </c>
      <c r="AA33" s="64" t="str">
        <f t="shared" si="37"/>
        <v>Muy Baja</v>
      </c>
      <c r="AB33" s="65">
        <f t="shared" si="38"/>
        <v>6.3504000000000005E-2</v>
      </c>
      <c r="AC33" s="66" t="str">
        <f t="shared" si="39"/>
        <v>Moderado</v>
      </c>
      <c r="AD33" s="63">
        <f t="shared" si="40"/>
        <v>0.6</v>
      </c>
      <c r="AE33" s="67" t="str">
        <f t="shared" si="41"/>
        <v>Muy Baja - Moderado</v>
      </c>
      <c r="AF33" s="79" t="str">
        <f>+VLOOKUP(AE33,Datos!$J$4:$K$28,2,)</f>
        <v>MODERADO</v>
      </c>
      <c r="AG33" s="425"/>
      <c r="AH33" s="2"/>
      <c r="AI33" s="264"/>
      <c r="AJ33" s="262"/>
      <c r="AK33" s="427"/>
      <c r="AM33" s="415"/>
      <c r="AN33" s="222" t="s">
        <v>161</v>
      </c>
      <c r="AO33" s="223" t="s">
        <v>74</v>
      </c>
      <c r="AP33" s="224" t="s">
        <v>75</v>
      </c>
      <c r="AQ33" s="225" t="s">
        <v>74</v>
      </c>
      <c r="AR33" s="260"/>
      <c r="AS33" s="274"/>
      <c r="AT33" s="251"/>
    </row>
    <row r="34" spans="1:46" ht="232.5" customHeight="1">
      <c r="A34" s="396"/>
      <c r="B34" s="351"/>
      <c r="C34" s="351"/>
      <c r="D34" s="351"/>
      <c r="E34" s="401"/>
      <c r="F34" s="405"/>
      <c r="G34" s="463"/>
      <c r="H34" s="348"/>
      <c r="I34" s="334"/>
      <c r="J34" s="323"/>
      <c r="K34" s="326"/>
      <c r="L34" s="348"/>
      <c r="M34" s="334"/>
      <c r="N34" s="329"/>
      <c r="O34" s="354"/>
      <c r="P34" s="2"/>
      <c r="Q34" s="47">
        <v>7</v>
      </c>
      <c r="R34" s="198" t="s">
        <v>162</v>
      </c>
      <c r="S34" s="52" t="str">
        <f t="shared" si="35"/>
        <v>Probabilidad</v>
      </c>
      <c r="T34" s="22" t="s">
        <v>64</v>
      </c>
      <c r="U34" s="22" t="s">
        <v>65</v>
      </c>
      <c r="V34" s="56" t="str">
        <f t="shared" si="36"/>
        <v>30%</v>
      </c>
      <c r="W34" s="23" t="s">
        <v>158</v>
      </c>
      <c r="X34" s="22" t="s">
        <v>163</v>
      </c>
      <c r="Y34" s="172" t="s">
        <v>164</v>
      </c>
      <c r="Z34" s="63">
        <f t="shared" si="33"/>
        <v>4.4452800000000001E-2</v>
      </c>
      <c r="AA34" s="64" t="str">
        <f t="shared" si="37"/>
        <v>Muy Baja</v>
      </c>
      <c r="AB34" s="65">
        <f t="shared" si="38"/>
        <v>4.4452800000000001E-2</v>
      </c>
      <c r="AC34" s="66" t="str">
        <f t="shared" si="39"/>
        <v>Moderado</v>
      </c>
      <c r="AD34" s="63">
        <f t="shared" si="40"/>
        <v>0.6</v>
      </c>
      <c r="AE34" s="67" t="str">
        <f t="shared" si="41"/>
        <v>Muy Baja - Moderado</v>
      </c>
      <c r="AF34" s="79" t="str">
        <f>+VLOOKUP(AE34,Datos!$J$4:$K$28,2,)</f>
        <v>MODERADO</v>
      </c>
      <c r="AG34" s="425"/>
      <c r="AH34" s="2"/>
      <c r="AI34" s="264"/>
      <c r="AJ34" s="263"/>
      <c r="AK34" s="266"/>
      <c r="AM34" s="415"/>
      <c r="AN34" s="226" t="s">
        <v>165</v>
      </c>
      <c r="AO34" s="223" t="s">
        <v>74</v>
      </c>
      <c r="AP34" s="224" t="s">
        <v>75</v>
      </c>
      <c r="AQ34" s="225" t="s">
        <v>166</v>
      </c>
      <c r="AR34" s="260"/>
      <c r="AS34" s="274"/>
      <c r="AT34" s="251"/>
    </row>
    <row r="35" spans="1:46" ht="232.5" customHeight="1">
      <c r="A35" s="396"/>
      <c r="B35" s="351"/>
      <c r="C35" s="351"/>
      <c r="D35" s="351"/>
      <c r="E35" s="401"/>
      <c r="F35" s="405"/>
      <c r="G35" s="463"/>
      <c r="H35" s="348"/>
      <c r="I35" s="334"/>
      <c r="J35" s="323"/>
      <c r="K35" s="326"/>
      <c r="L35" s="348"/>
      <c r="M35" s="334"/>
      <c r="N35" s="329"/>
      <c r="O35" s="354"/>
      <c r="P35" s="2"/>
      <c r="Q35" s="47">
        <v>8</v>
      </c>
      <c r="R35" s="198" t="s">
        <v>167</v>
      </c>
      <c r="S35" s="52" t="str">
        <f t="shared" ref="S35:S36" si="48">IF(OR(T35="Preventivo",T35="Detectivo"),"Probabilidad",IF(T35="Correctivo","Impacto",""))</f>
        <v>Impacto</v>
      </c>
      <c r="T35" s="22" t="s">
        <v>86</v>
      </c>
      <c r="U35" s="22" t="s">
        <v>65</v>
      </c>
      <c r="V35" s="56" t="str">
        <f t="shared" ref="V35:V36" si="49">IF(AND(T35="Preventivo",U35="Automático"),"50%",IF(AND(T35="Preventivo",U35="Manual"),"40%",IF(AND(T35="Detectivo",U35="Automático"),"40%",IF(AND(T35="Detectivo",U35="Manual"),"30%",IF(AND(T35="Correctivo",U35="Automático"),"35%",IF(AND(T35="Correctivo",U35="Manual"),"25%",""))))))</f>
        <v>25%</v>
      </c>
      <c r="W35" s="23" t="s">
        <v>168</v>
      </c>
      <c r="X35" s="22" t="s">
        <v>82</v>
      </c>
      <c r="Y35" s="172" t="s">
        <v>164</v>
      </c>
      <c r="Z35" s="63">
        <f>IFERROR(IF(AND(S34="Probabilidad",S35="Probabilidad"),(AB34-(+AB34*V35)),IF(S35="Probabilidad",($I$28-(+$I$28*V35)),IF(S35="Impacto",AB34,""))),"")</f>
        <v>4.4452800000000001E-2</v>
      </c>
      <c r="AA35" s="64" t="str">
        <f t="shared" ref="AA35:AA36" si="50">IFERROR(IF(Z35="","",IF(Z35&lt;=0.2,"Muy Baja",IF(Z35&lt;=0.4,"Baja",IF(Z35&lt;=0.6,"Media",IF(Z35&lt;=0.8,"Alta","Muy Alta"))))),"")</f>
        <v>Muy Baja</v>
      </c>
      <c r="AB35" s="65">
        <f t="shared" ref="AB35:AB36" si="51">+Z35</f>
        <v>4.4452800000000001E-2</v>
      </c>
      <c r="AC35" s="66" t="str">
        <f t="shared" ref="AC35:AC36" si="52">IFERROR(IF(AD35="","",IF(AD35&lt;=0.2,"Leve",IF(AD35&lt;=0.4,"Menor",IF(AD35&lt;=0.6,"Moderado",IF(AD35&lt;=0.8,"Mayor","Catastrófico"))))),"")</f>
        <v>Moderado</v>
      </c>
      <c r="AD35" s="63">
        <f>IFERROR(IF(AND(S34="Impacto",S33="Impacto"),(AD34-(+AD34*V35)),IF(S35="Impacto",($M$28-(+$M$28*V35)),IF(S35="Probabilidad",AD34,""))),"")</f>
        <v>0.44999999999999996</v>
      </c>
      <c r="AE35" s="67" t="str">
        <f t="shared" ref="AE35:AE36" si="53">+CONCATENATE(AA35, " - ", AC35)</f>
        <v>Muy Baja - Moderado</v>
      </c>
      <c r="AF35" s="79" t="str">
        <f>+VLOOKUP(AE35,Datos!$J$4:$K$28,2,)</f>
        <v>MODERADO</v>
      </c>
      <c r="AG35" s="425"/>
      <c r="AH35" s="2"/>
      <c r="AI35" s="264"/>
      <c r="AJ35" s="264"/>
      <c r="AK35" s="267"/>
      <c r="AM35" s="415"/>
      <c r="AN35" s="226" t="s">
        <v>165</v>
      </c>
      <c r="AO35" s="223" t="s">
        <v>74</v>
      </c>
      <c r="AP35" s="224" t="s">
        <v>75</v>
      </c>
      <c r="AQ35" s="225" t="s">
        <v>166</v>
      </c>
      <c r="AR35" s="260"/>
      <c r="AS35" s="274"/>
      <c r="AT35" s="251"/>
    </row>
    <row r="36" spans="1:46" ht="232.5" customHeight="1">
      <c r="A36" s="396"/>
      <c r="B36" s="351"/>
      <c r="C36" s="351"/>
      <c r="D36" s="351"/>
      <c r="E36" s="401"/>
      <c r="F36" s="405"/>
      <c r="G36" s="463"/>
      <c r="H36" s="348"/>
      <c r="I36" s="334"/>
      <c r="J36" s="323"/>
      <c r="K36" s="326"/>
      <c r="L36" s="348"/>
      <c r="M36" s="334"/>
      <c r="N36" s="329"/>
      <c r="O36" s="354"/>
      <c r="P36" s="2"/>
      <c r="Q36" s="47">
        <v>9</v>
      </c>
      <c r="R36" s="198" t="s">
        <v>169</v>
      </c>
      <c r="S36" s="52" t="str">
        <f t="shared" si="48"/>
        <v>Impacto</v>
      </c>
      <c r="T36" s="22" t="s">
        <v>86</v>
      </c>
      <c r="U36" s="22" t="s">
        <v>65</v>
      </c>
      <c r="V36" s="56" t="str">
        <f t="shared" si="49"/>
        <v>25%</v>
      </c>
      <c r="W36" s="96" t="s">
        <v>110</v>
      </c>
      <c r="X36" s="22" t="s">
        <v>163</v>
      </c>
      <c r="Y36" s="172" t="s">
        <v>170</v>
      </c>
      <c r="Z36" s="63">
        <f>IFERROR(IF(AND(S34="Probabilidad",S36="Probabilidad"),(AB34-(+AB34*V36)),IF(S36="Probabilidad",($I$28-(+$I$28*V36)),IF(S36="Impacto",AB34,""))),"")</f>
        <v>4.4452800000000001E-2</v>
      </c>
      <c r="AA36" s="64" t="str">
        <f t="shared" si="50"/>
        <v>Muy Baja</v>
      </c>
      <c r="AB36" s="65">
        <f t="shared" si="51"/>
        <v>4.4452800000000001E-2</v>
      </c>
      <c r="AC36" s="66" t="str">
        <f t="shared" si="52"/>
        <v>Menor</v>
      </c>
      <c r="AD36" s="63">
        <f>IFERROR(IF(AND(S35="Impacto",S35="Impacto"),(AD35-(+AD35*V36)),IF(S36="Impacto",($M$28-(+$M$28*V36)),IF(S36="Probabilidad",AD35,""))),"")</f>
        <v>0.33749999999999997</v>
      </c>
      <c r="AE36" s="67" t="str">
        <f t="shared" si="53"/>
        <v>Muy Baja - Menor</v>
      </c>
      <c r="AF36" s="79" t="str">
        <f>+VLOOKUP(AE36,Datos!$J$4:$K$28,2,)</f>
        <v>BAJO</v>
      </c>
      <c r="AG36" s="425"/>
      <c r="AH36" s="2"/>
      <c r="AI36" s="264"/>
      <c r="AJ36" s="264"/>
      <c r="AK36" s="267"/>
      <c r="AM36" s="415"/>
      <c r="AN36" s="203" t="s">
        <v>171</v>
      </c>
      <c r="AO36" s="223" t="s">
        <v>74</v>
      </c>
      <c r="AP36" s="224" t="s">
        <v>75</v>
      </c>
      <c r="AQ36" s="225" t="s">
        <v>172</v>
      </c>
      <c r="AR36" s="260"/>
      <c r="AS36" s="274"/>
      <c r="AT36" s="251"/>
    </row>
    <row r="37" spans="1:46" ht="279" customHeight="1">
      <c r="A37" s="454"/>
      <c r="B37" s="456"/>
      <c r="C37" s="456"/>
      <c r="D37" s="456"/>
      <c r="E37" s="458"/>
      <c r="F37" s="460"/>
      <c r="G37" s="464"/>
      <c r="H37" s="437"/>
      <c r="I37" s="417"/>
      <c r="J37" s="434"/>
      <c r="K37" s="435"/>
      <c r="L37" s="437"/>
      <c r="M37" s="417"/>
      <c r="N37" s="418"/>
      <c r="O37" s="419"/>
      <c r="P37" s="2"/>
      <c r="Q37" s="170">
        <v>10</v>
      </c>
      <c r="R37" s="198" t="s">
        <v>173</v>
      </c>
      <c r="S37" s="52" t="str">
        <f t="shared" si="35"/>
        <v>Impacto</v>
      </c>
      <c r="T37" s="22" t="s">
        <v>86</v>
      </c>
      <c r="U37" s="22" t="s">
        <v>65</v>
      </c>
      <c r="V37" s="56" t="str">
        <f t="shared" si="36"/>
        <v>25%</v>
      </c>
      <c r="W37" s="195" t="s">
        <v>174</v>
      </c>
      <c r="X37" s="22" t="s">
        <v>175</v>
      </c>
      <c r="Y37" s="172" t="s">
        <v>176</v>
      </c>
      <c r="Z37" s="63">
        <f>IFERROR(IF(AND(S36="Probabilidad",S37="Probabilidad"),(AB36-(+AB36*V37)),IF(S37="Probabilidad",($I$28-(+$I$28*V37)),IF(S37="Impacto",AB36,""))),"")</f>
        <v>4.4452800000000001E-2</v>
      </c>
      <c r="AA37" s="64" t="str">
        <f t="shared" si="37"/>
        <v>Muy Baja</v>
      </c>
      <c r="AB37" s="65">
        <f t="shared" si="38"/>
        <v>4.4452800000000001E-2</v>
      </c>
      <c r="AC37" s="66" t="str">
        <f t="shared" si="39"/>
        <v>Menor</v>
      </c>
      <c r="AD37" s="63">
        <f>IFERROR(IF(AND(S36="Impacto",S36="Impacto"),(AD36-(+AD36*V37)),IF(S37="Impacto",($M$28-(+$M$28*V37)),IF(S37="Probabilidad",AD36,""))),"")</f>
        <v>0.25312499999999999</v>
      </c>
      <c r="AE37" s="67" t="str">
        <f t="shared" si="41"/>
        <v>Muy Baja - Menor</v>
      </c>
      <c r="AF37" s="79" t="str">
        <f>+VLOOKUP(AE37,Datos!$J$4:$K$28,2,)</f>
        <v>BAJO</v>
      </c>
      <c r="AG37" s="425"/>
      <c r="AH37" s="2"/>
      <c r="AI37" s="265"/>
      <c r="AJ37" s="265"/>
      <c r="AK37" s="268"/>
      <c r="AM37" s="415"/>
      <c r="AN37" s="227" t="s">
        <v>177</v>
      </c>
      <c r="AO37" s="228" t="s">
        <v>74</v>
      </c>
      <c r="AP37" s="220" t="s">
        <v>75</v>
      </c>
      <c r="AQ37" s="204" t="s">
        <v>74</v>
      </c>
      <c r="AR37" s="260"/>
      <c r="AS37" s="274"/>
      <c r="AT37" s="251"/>
    </row>
    <row r="38" spans="1:46" ht="134.25" customHeight="1">
      <c r="A38" s="438">
        <v>5</v>
      </c>
      <c r="B38" s="441" t="s">
        <v>58</v>
      </c>
      <c r="C38" s="441" t="s">
        <v>178</v>
      </c>
      <c r="D38" s="441" t="s">
        <v>179</v>
      </c>
      <c r="E38" s="444" t="s">
        <v>180</v>
      </c>
      <c r="F38" s="447"/>
      <c r="G38" s="450">
        <v>365</v>
      </c>
      <c r="H38" s="344" t="str">
        <f>IF(G38&lt;=0,"",IF(G38&lt;=2,"Muy Baja",IF(G38&lt;=24,"Baja",IF(G38&lt;=500,"Media",IF(G38&lt;=5000,"Alta","Muy Alta")))))</f>
        <v>Media</v>
      </c>
      <c r="I38" s="356">
        <f>IF(H38="","",IF(H38="Muy Baja",0.2,IF(H38="Baja",0.4,IF(H38="Media",0.6,IF(H38="Alta",0.8,IF(H38="Muy Alta",1,))))))</f>
        <v>0.6</v>
      </c>
      <c r="J38" s="320" t="s">
        <v>95</v>
      </c>
      <c r="K38" s="342" t="str">
        <f>+J38</f>
        <v>El riesgo afecta la imagen de la entidad con efecto publicitario sostenido a nivel de sector administrativo o distrital</v>
      </c>
      <c r="L38" s="344" t="str">
        <f>+VLOOKUP(K38,Datos!$O$4:$P$15,2,FALSE)</f>
        <v>Mayor</v>
      </c>
      <c r="M38" s="356">
        <f>IF(L38="","",IF(L38="Leve",0.2,IF(L38="Menor",0.4,IF(L38="Moderado",0.6,IF(L38="Mayor",0.8,IF(L38="Catastrófico",1,))))))</f>
        <v>0.8</v>
      </c>
      <c r="N38" s="357" t="str">
        <f>+CONCATENATE(H38, " - ", L38)</f>
        <v>Media - Mayor</v>
      </c>
      <c r="O38" s="365" t="str">
        <f>+VLOOKUP(N38,Datos!$J$4:$K$28,2,)</f>
        <v>ALTO</v>
      </c>
      <c r="P38" s="139"/>
      <c r="Q38" s="104">
        <v>1</v>
      </c>
      <c r="R38" s="167" t="s">
        <v>181</v>
      </c>
      <c r="S38" s="140" t="str">
        <f t="shared" si="32"/>
        <v>Probabilidad</v>
      </c>
      <c r="T38" s="141" t="s">
        <v>80</v>
      </c>
      <c r="U38" s="141" t="s">
        <v>65</v>
      </c>
      <c r="V38" s="142" t="str">
        <f t="shared" si="31"/>
        <v>40%</v>
      </c>
      <c r="W38" s="143" t="s">
        <v>110</v>
      </c>
      <c r="X38" s="144" t="s">
        <v>182</v>
      </c>
      <c r="Y38" s="180" t="s">
        <v>183</v>
      </c>
      <c r="Z38" s="145">
        <f>IFERROR(IF(S38="Probabilidad",(I38-(+I38*V38)),IF(S38="Impacto",I38,"")),"")</f>
        <v>0.36</v>
      </c>
      <c r="AA38" s="146" t="str">
        <f t="shared" si="37"/>
        <v>Baja</v>
      </c>
      <c r="AB38" s="147">
        <f t="shared" si="38"/>
        <v>0.36</v>
      </c>
      <c r="AC38" s="148" t="str">
        <f t="shared" si="39"/>
        <v>Mayor</v>
      </c>
      <c r="AD38" s="145">
        <f>IFERROR(IF(S38="Impacto",(M38-(+M38*V38)),IF(S38="Probabilidad",M38,"")),"")</f>
        <v>0.8</v>
      </c>
      <c r="AE38" s="149" t="str">
        <f>+CONCATENATE(AA38, " - ", AC38)</f>
        <v>Baja - Mayor</v>
      </c>
      <c r="AF38" s="150" t="str">
        <f>+VLOOKUP(AE38,Datos!$J$4:$K$28,2,)</f>
        <v>ALTO</v>
      </c>
      <c r="AG38" s="380" t="s">
        <v>69</v>
      </c>
      <c r="AH38" s="139"/>
      <c r="AI38" s="387" t="s">
        <v>184</v>
      </c>
      <c r="AJ38" s="389" t="s">
        <v>185</v>
      </c>
      <c r="AK38" s="391">
        <v>45046</v>
      </c>
      <c r="AL38" s="151"/>
      <c r="AM38" s="420"/>
      <c r="AN38" s="239"/>
      <c r="AO38" s="240"/>
      <c r="AP38" s="241"/>
      <c r="AQ38" s="242"/>
      <c r="AR38" s="384"/>
      <c r="AS38" s="197"/>
    </row>
    <row r="39" spans="1:46" ht="212.25" customHeight="1">
      <c r="A39" s="439"/>
      <c r="B39" s="442"/>
      <c r="C39" s="442"/>
      <c r="D39" s="442"/>
      <c r="E39" s="445"/>
      <c r="F39" s="448"/>
      <c r="G39" s="451"/>
      <c r="H39" s="412"/>
      <c r="I39" s="413"/>
      <c r="J39" s="320"/>
      <c r="K39" s="342"/>
      <c r="L39" s="412"/>
      <c r="M39" s="413"/>
      <c r="N39" s="357"/>
      <c r="O39" s="365"/>
      <c r="P39" s="103"/>
      <c r="Q39" s="152">
        <v>2</v>
      </c>
      <c r="R39" s="168" t="s">
        <v>186</v>
      </c>
      <c r="S39" s="153" t="str">
        <f t="shared" si="32"/>
        <v>Probabilidad</v>
      </c>
      <c r="T39" s="154" t="s">
        <v>80</v>
      </c>
      <c r="U39" s="154" t="s">
        <v>65</v>
      </c>
      <c r="V39" s="155" t="str">
        <f t="shared" si="31"/>
        <v>40%</v>
      </c>
      <c r="W39" s="156" t="s">
        <v>187</v>
      </c>
      <c r="X39" s="154" t="s">
        <v>188</v>
      </c>
      <c r="Y39" s="181" t="s">
        <v>189</v>
      </c>
      <c r="Z39" s="115">
        <f>IFERROR(IF(AND(S38="Probabilidad",S39="Probabilidad"),(AB38-(+AB38*V39)),IF(S39="Probabilidad",($I$38-(+$I$38*V39)),IF(S39="Impacto",AB38,""))),"")</f>
        <v>0.216</v>
      </c>
      <c r="AA39" s="116" t="str">
        <f t="shared" si="37"/>
        <v>Baja</v>
      </c>
      <c r="AB39" s="117">
        <f t="shared" si="38"/>
        <v>0.216</v>
      </c>
      <c r="AC39" s="118" t="str">
        <f t="shared" si="39"/>
        <v>Mayor</v>
      </c>
      <c r="AD39" s="115">
        <f>IFERROR(IF(AND(S38="Impacto",S38="Impacto"),(AD38-(+AD38*V39)),IF(S39="Impacto",($M$38-(+$M$38*V39)),IF(S39="Probabilidad",AD38,""))),"")</f>
        <v>0.8</v>
      </c>
      <c r="AE39" s="119" t="str">
        <f t="shared" ref="AE39" si="54">+CONCATENATE(AA39, " - ", AC39)</f>
        <v>Baja - Mayor</v>
      </c>
      <c r="AF39" s="120" t="str">
        <f>+VLOOKUP(AE39,Datos!$J$4:$K$28,2,)</f>
        <v>ALTO</v>
      </c>
      <c r="AG39" s="381"/>
      <c r="AH39" s="103"/>
      <c r="AI39" s="388"/>
      <c r="AJ39" s="390"/>
      <c r="AK39" s="392"/>
      <c r="AL39" s="157"/>
      <c r="AM39" s="421"/>
      <c r="AN39" s="239"/>
      <c r="AO39" s="204"/>
      <c r="AP39" s="243"/>
      <c r="AQ39" s="244"/>
      <c r="AR39" s="385"/>
      <c r="AS39" s="197"/>
      <c r="AT39" t="s">
        <v>190</v>
      </c>
    </row>
    <row r="40" spans="1:46" ht="237" customHeight="1">
      <c r="A40" s="439"/>
      <c r="B40" s="442"/>
      <c r="C40" s="442"/>
      <c r="D40" s="442"/>
      <c r="E40" s="445"/>
      <c r="F40" s="448"/>
      <c r="G40" s="451"/>
      <c r="H40" s="412"/>
      <c r="I40" s="413"/>
      <c r="J40" s="320"/>
      <c r="K40" s="342"/>
      <c r="L40" s="412"/>
      <c r="M40" s="413"/>
      <c r="N40" s="357"/>
      <c r="O40" s="365"/>
      <c r="P40" s="103"/>
      <c r="Q40" s="152">
        <v>3</v>
      </c>
      <c r="R40" s="169" t="s">
        <v>191</v>
      </c>
      <c r="S40" s="153" t="str">
        <f t="shared" si="32"/>
        <v>Probabilidad</v>
      </c>
      <c r="T40" s="114" t="s">
        <v>80</v>
      </c>
      <c r="U40" s="114" t="s">
        <v>65</v>
      </c>
      <c r="V40" s="155" t="str">
        <f t="shared" si="31"/>
        <v>40%</v>
      </c>
      <c r="W40" s="156" t="s">
        <v>192</v>
      </c>
      <c r="X40" s="114" t="s">
        <v>188</v>
      </c>
      <c r="Y40" s="182" t="s">
        <v>193</v>
      </c>
      <c r="Z40" s="115">
        <f>IFERROR(IF(AND(S39="Probabilidad",S40="Probabilidad"),(AB39-(+AB39*V40)),IF(S40="Probabilidad",($I$38-(+$I$38*V40)),IF(S40="Impacto",AB39,""))),"")</f>
        <v>0.12959999999999999</v>
      </c>
      <c r="AA40" s="116" t="str">
        <f t="shared" ref="AA40" si="55">IFERROR(IF(Z40="","",IF(Z40&lt;=0.2,"Muy Baja",IF(Z40&lt;=0.4,"Baja",IF(Z40&lt;=0.6,"Media",IF(Z40&lt;=0.8,"Alta","Muy Alta"))))),"")</f>
        <v>Muy Baja</v>
      </c>
      <c r="AB40" s="117">
        <f t="shared" ref="AB40" si="56">+Z40</f>
        <v>0.12959999999999999</v>
      </c>
      <c r="AC40" s="118" t="str">
        <f t="shared" ref="AC40" si="57">IFERROR(IF(AD40="","",IF(AD40&lt;=0.2,"Leve",IF(AD40&lt;=0.4,"Menor",IF(AD40&lt;=0.6,"Moderado",IF(AD40&lt;=0.8,"Mayor","Catastrófico"))))),"")</f>
        <v>Mayor</v>
      </c>
      <c r="AD40" s="115">
        <f>IFERROR(IF(AND(S39="Impacto",S39="Impacto"),(AD39-(+AD39*V40)),IF(S40="Impacto",($M$38-(+$M$38*V40)),IF(S40="Probabilidad",AD39,""))),"")</f>
        <v>0.8</v>
      </c>
      <c r="AE40" s="119" t="str">
        <f t="shared" ref="AE40" si="58">+CONCATENATE(AA40, " - ", AC40)</f>
        <v>Muy Baja - Mayor</v>
      </c>
      <c r="AF40" s="120" t="str">
        <f>+VLOOKUP(AE40,Datos!$J$4:$K$28,2,)</f>
        <v>ALTO</v>
      </c>
      <c r="AG40" s="381"/>
      <c r="AH40" s="103"/>
      <c r="AI40" s="388"/>
      <c r="AJ40" s="390"/>
      <c r="AK40" s="393"/>
      <c r="AL40" s="157"/>
      <c r="AM40" s="421"/>
      <c r="AN40" s="239"/>
      <c r="AO40" s="240"/>
      <c r="AP40" s="245"/>
      <c r="AQ40" s="246"/>
      <c r="AR40" s="385"/>
      <c r="AS40" s="197"/>
      <c r="AT40" t="s">
        <v>194</v>
      </c>
    </row>
    <row r="41" spans="1:46" ht="129" customHeight="1">
      <c r="A41" s="439"/>
      <c r="B41" s="442"/>
      <c r="C41" s="442"/>
      <c r="D41" s="442"/>
      <c r="E41" s="445"/>
      <c r="F41" s="448"/>
      <c r="G41" s="451"/>
      <c r="H41" s="412"/>
      <c r="I41" s="413"/>
      <c r="J41" s="320"/>
      <c r="K41" s="342"/>
      <c r="L41" s="412"/>
      <c r="M41" s="413"/>
      <c r="N41" s="357"/>
      <c r="O41" s="365"/>
      <c r="P41" s="103"/>
      <c r="Q41" s="152">
        <v>4</v>
      </c>
      <c r="R41" s="168" t="s">
        <v>195</v>
      </c>
      <c r="S41" s="153" t="str">
        <f t="shared" si="32"/>
        <v>Impacto</v>
      </c>
      <c r="T41" s="154" t="s">
        <v>86</v>
      </c>
      <c r="U41" s="154" t="s">
        <v>65</v>
      </c>
      <c r="V41" s="155" t="str">
        <f t="shared" si="31"/>
        <v>25%</v>
      </c>
      <c r="W41" s="158" t="s">
        <v>110</v>
      </c>
      <c r="X41" s="156" t="s">
        <v>196</v>
      </c>
      <c r="Y41" s="181" t="s">
        <v>197</v>
      </c>
      <c r="Z41" s="115">
        <f>IFERROR(IF(AND(S40="Probabilidad",S41="Probabilidad"),(AB40-(+AB40*V41)),IF(S41="Probabilidad",($I$38-(+$I$38*V41)),IF(S41="Impacto",AB40,""))),"")</f>
        <v>0.12959999999999999</v>
      </c>
      <c r="AA41" s="116" t="str">
        <f t="shared" ref="AA41" si="59">IFERROR(IF(Z41="","",IF(Z41&lt;=0.2,"Muy Baja",IF(Z41&lt;=0.4,"Baja",IF(Z41&lt;=0.6,"Media",IF(Z41&lt;=0.8,"Alta","Muy Alta"))))),"")</f>
        <v>Muy Baja</v>
      </c>
      <c r="AB41" s="117">
        <f t="shared" ref="AB41" si="60">+Z41</f>
        <v>0.12959999999999999</v>
      </c>
      <c r="AC41" s="118" t="str">
        <f t="shared" ref="AC41" si="61">IFERROR(IF(AD41="","",IF(AD41&lt;=0.2,"Leve",IF(AD41&lt;=0.4,"Menor",IF(AD41&lt;=0.6,"Moderado",IF(AD41&lt;=0.8,"Mayor","Catastrófico"))))),"")</f>
        <v>Moderado</v>
      </c>
      <c r="AD41" s="115">
        <f>IFERROR(IF(AND(S40="Impacto",S40="Impacto"),(AD40-(+AD40*V41)),IF(S41="Impacto",($M$38-(+$M$38*V41)),IF(S41="Probabilidad",AD40,""))),"")</f>
        <v>0.60000000000000009</v>
      </c>
      <c r="AE41" s="119" t="str">
        <f t="shared" ref="AE41" si="62">+CONCATENATE(AA41, " - ", AC41)</f>
        <v>Muy Baja - Moderado</v>
      </c>
      <c r="AF41" s="120" t="str">
        <f>+VLOOKUP(AE41,Datos!$J$4:$K$28,2,)</f>
        <v>MODERADO</v>
      </c>
      <c r="AG41" s="381"/>
      <c r="AH41" s="103"/>
      <c r="AI41" s="428" t="s">
        <v>198</v>
      </c>
      <c r="AJ41" s="430" t="s">
        <v>199</v>
      </c>
      <c r="AK41" s="432">
        <v>45107</v>
      </c>
      <c r="AL41" s="157"/>
      <c r="AM41" s="421"/>
      <c r="AN41" s="239"/>
      <c r="AO41" s="229"/>
      <c r="AP41" s="243"/>
      <c r="AQ41" s="244"/>
      <c r="AR41" s="385"/>
      <c r="AS41" s="197"/>
    </row>
    <row r="42" spans="1:46" ht="172.5" customHeight="1">
      <c r="A42" s="440"/>
      <c r="B42" s="443"/>
      <c r="C42" s="443"/>
      <c r="D42" s="443"/>
      <c r="E42" s="446"/>
      <c r="F42" s="449"/>
      <c r="G42" s="452"/>
      <c r="H42" s="346"/>
      <c r="I42" s="358"/>
      <c r="J42" s="321"/>
      <c r="K42" s="343"/>
      <c r="L42" s="346"/>
      <c r="M42" s="358"/>
      <c r="N42" s="364"/>
      <c r="O42" s="366"/>
      <c r="P42" s="124"/>
      <c r="Q42" s="125">
        <v>5</v>
      </c>
      <c r="R42" s="164" t="s">
        <v>200</v>
      </c>
      <c r="S42" s="159" t="str">
        <f t="shared" si="32"/>
        <v>Impacto</v>
      </c>
      <c r="T42" s="126" t="s">
        <v>86</v>
      </c>
      <c r="U42" s="126" t="s">
        <v>65</v>
      </c>
      <c r="V42" s="127" t="str">
        <f t="shared" si="31"/>
        <v>25%</v>
      </c>
      <c r="W42" s="129" t="s">
        <v>201</v>
      </c>
      <c r="X42" s="129" t="s">
        <v>202</v>
      </c>
      <c r="Y42" s="183" t="s">
        <v>203</v>
      </c>
      <c r="Z42" s="134">
        <f>IFERROR(IF(AND(S41="Probabilidad",S42="Probabilidad"),(AB41-(+AB41*V42)),IF(S42="Probabilidad",($I$38-(+$I$38*V42)),IF(S42="Impacto",AB41,""))),"")</f>
        <v>0.12959999999999999</v>
      </c>
      <c r="AA42" s="160" t="str">
        <f t="shared" ref="AA42" si="63">IFERROR(IF(Z42="","",IF(Z42&lt;=0.2,"Muy Baja",IF(Z42&lt;=0.4,"Baja",IF(Z42&lt;=0.6,"Media",IF(Z42&lt;=0.8,"Alta","Muy Alta"))))),"")</f>
        <v>Muy Baja</v>
      </c>
      <c r="AB42" s="132">
        <f t="shared" ref="AB42" si="64">+Z42</f>
        <v>0.12959999999999999</v>
      </c>
      <c r="AC42" s="133" t="str">
        <f t="shared" ref="AC42" si="65">IFERROR(IF(AD42="","",IF(AD42&lt;=0.2,"Leve",IF(AD42&lt;=0.4,"Menor",IF(AD42&lt;=0.6,"Moderado",IF(AD42&lt;=0.8,"Mayor","Catastrófico"))))),"")</f>
        <v>Moderado</v>
      </c>
      <c r="AD42" s="134">
        <f>IFERROR(IF(AND(S41="Impacto",S41="Impacto"),(AD41-(+AD41*V42)),IF(S42="Impacto",($M$38-(+$M$38*V42)),IF(S42="Probabilidad",AD41,""))),"")</f>
        <v>0.45000000000000007</v>
      </c>
      <c r="AE42" s="135" t="str">
        <f t="shared" ref="AE42" si="66">+CONCATENATE(AA42, " - ", AC42)</f>
        <v>Muy Baja - Moderado</v>
      </c>
      <c r="AF42" s="136" t="str">
        <f>+VLOOKUP(AE42,Datos!$J$4:$K$28,2,)</f>
        <v>MODERADO</v>
      </c>
      <c r="AG42" s="382"/>
      <c r="AH42" s="124"/>
      <c r="AI42" s="429"/>
      <c r="AJ42" s="431"/>
      <c r="AK42" s="433"/>
      <c r="AL42" s="161"/>
      <c r="AM42" s="422"/>
      <c r="AN42" s="239"/>
      <c r="AO42" s="247"/>
      <c r="AP42" s="241"/>
      <c r="AQ42" s="248"/>
      <c r="AR42" s="386"/>
      <c r="AS42" s="197"/>
      <c r="AT42" t="s">
        <v>204</v>
      </c>
    </row>
    <row r="43" spans="1:46" ht="409.5" customHeight="1">
      <c r="A43" s="394">
        <v>4</v>
      </c>
      <c r="B43" s="350" t="s">
        <v>58</v>
      </c>
      <c r="C43" s="350" t="s">
        <v>205</v>
      </c>
      <c r="D43" s="350" t="s">
        <v>206</v>
      </c>
      <c r="E43" s="399" t="s">
        <v>207</v>
      </c>
      <c r="F43" s="403"/>
      <c r="G43" s="407">
        <v>13</v>
      </c>
      <c r="H43" s="347" t="str">
        <f>IF(G43&lt;=0,"",IF(G43&lt;=2,"Muy Baja",IF(G43&lt;=24,"Baja",IF(G43&lt;=500,"Media",IF(G43&lt;=5000,"Alta","Muy Alta")))))</f>
        <v>Baja</v>
      </c>
      <c r="I43" s="333">
        <f>IF(H43="","",IF(H43="Muy Baja",0.2,IF(H43="Baja",0.4,IF(H43="Media",0.6,IF(H43="Alta",0.8,IF(H43="Muy Alta",1,))))))</f>
        <v>0.4</v>
      </c>
      <c r="J43" s="322" t="s">
        <v>62</v>
      </c>
      <c r="K43" s="325" t="str">
        <f>+J43</f>
        <v>El riesgo afecta la imagen de la entidad con algunos usuarios de relevancia frente al logro de los objetivos.</v>
      </c>
      <c r="L43" s="347" t="str">
        <f>+VLOOKUP(K43,Datos!$O$4:$P$15,2,FALSE)</f>
        <v>Moderado</v>
      </c>
      <c r="M43" s="333">
        <f>IF(L43="","",IF(L43="Leve",0.2,IF(L43="Menor",0.4,IF(L43="Moderado",0.6,IF(L43="Mayor",0.8,IF(L43="Catastrófico",1,))))))</f>
        <v>0.6</v>
      </c>
      <c r="N43" s="328" t="str">
        <f>+CONCATENATE(H43, " - ", L43)</f>
        <v>Baja - Moderado</v>
      </c>
      <c r="O43" s="353" t="str">
        <f>+VLOOKUP(N43,Datos!$J$4:$K$28,2,)</f>
        <v>MODERADO</v>
      </c>
      <c r="P43" s="2"/>
      <c r="Q43" s="35">
        <v>1</v>
      </c>
      <c r="R43" s="192" t="s">
        <v>208</v>
      </c>
      <c r="S43" s="53" t="str">
        <f t="shared" ref="S43:S46" si="67">IF(OR(T43="Preventivo",T43="Detectivo"),"Probabilidad",IF(T43="Correctivo","Impacto",""))</f>
        <v>Probabilidad</v>
      </c>
      <c r="T43" s="36" t="s">
        <v>64</v>
      </c>
      <c r="U43" s="36" t="s">
        <v>65</v>
      </c>
      <c r="V43" s="57" t="str">
        <f t="shared" ref="V43:V46" si="68">IF(AND(T43="Preventivo",U43="Automático"),"50%",IF(AND(T43="Preventivo",U43="Manual"),"40%",IF(AND(T43="Detectivo",U43="Automático"),"40%",IF(AND(T43="Detectivo",U43="Manual"),"30%",IF(AND(T43="Correctivo",U43="Automático"),"35%",IF(AND(T43="Correctivo",U43="Manual"),"25%",""))))))</f>
        <v>30%</v>
      </c>
      <c r="W43" s="37" t="s">
        <v>209</v>
      </c>
      <c r="X43" s="37" t="s">
        <v>82</v>
      </c>
      <c r="Y43" s="177" t="s">
        <v>210</v>
      </c>
      <c r="Z43" s="73">
        <f>IFERROR(IF(S43="Probabilidad",(I43-(+I43*V43)),IF(S43="Impacto",I43,"")),"")</f>
        <v>0.28000000000000003</v>
      </c>
      <c r="AA43" s="74" t="str">
        <f t="shared" ref="AA43:AA45" si="69">IFERROR(IF(Z43="","",IF(Z43&lt;=0.2,"Muy Baja",IF(Z43&lt;=0.4,"Baja",IF(Z43&lt;=0.6,"Media",IF(Z43&lt;=0.8,"Alta","Muy Alta"))))),"")</f>
        <v>Baja</v>
      </c>
      <c r="AB43" s="75">
        <f t="shared" ref="AB43:AB45" si="70">+Z43</f>
        <v>0.28000000000000003</v>
      </c>
      <c r="AC43" s="76" t="str">
        <f t="shared" ref="AC43:AC45" si="71">IFERROR(IF(AD43="","",IF(AD43&lt;=0.2,"Leve",IF(AD43&lt;=0.4,"Menor",IF(AD43&lt;=0.6,"Moderado",IF(AD43&lt;=0.8,"Mayor","Catastrófico"))))),"")</f>
        <v>Moderado</v>
      </c>
      <c r="AD43" s="73">
        <f>IFERROR(IF(S43="Impacto",(M43-(+M43*V43)),IF(S43="Probabilidad",M43,"")),"")</f>
        <v>0.6</v>
      </c>
      <c r="AE43" s="77" t="str">
        <f>+CONCATENATE(AA43, " - ", AC43)</f>
        <v>Baja - Moderado</v>
      </c>
      <c r="AF43" s="81" t="str">
        <f>+VLOOKUP(AE43,Datos!$J$4:$K$28,2,)</f>
        <v>MODERADO</v>
      </c>
      <c r="AG43" s="370" t="s">
        <v>211</v>
      </c>
      <c r="AH43" s="2"/>
      <c r="AI43" s="374" t="s">
        <v>212</v>
      </c>
      <c r="AJ43" s="264" t="s">
        <v>213</v>
      </c>
      <c r="AK43" s="362" t="s">
        <v>214</v>
      </c>
      <c r="AM43" s="377">
        <v>45791</v>
      </c>
      <c r="AN43" s="204" t="s">
        <v>215</v>
      </c>
      <c r="AO43" s="204" t="s">
        <v>74</v>
      </c>
      <c r="AP43" s="204" t="s">
        <v>75</v>
      </c>
      <c r="AQ43" s="204" t="s">
        <v>74</v>
      </c>
      <c r="AR43" s="260"/>
      <c r="AS43" s="269" t="s">
        <v>216</v>
      </c>
      <c r="AT43" s="251" t="s">
        <v>217</v>
      </c>
    </row>
    <row r="44" spans="1:46" ht="374.25" customHeight="1">
      <c r="A44" s="395"/>
      <c r="B44" s="398"/>
      <c r="C44" s="398"/>
      <c r="D44" s="398"/>
      <c r="E44" s="400"/>
      <c r="F44" s="404"/>
      <c r="G44" s="408"/>
      <c r="H44" s="411"/>
      <c r="I44" s="329"/>
      <c r="J44" s="323"/>
      <c r="K44" s="326"/>
      <c r="L44" s="411"/>
      <c r="M44" s="329"/>
      <c r="N44" s="329"/>
      <c r="O44" s="354"/>
      <c r="P44" s="2"/>
      <c r="Q44" s="83">
        <v>2</v>
      </c>
      <c r="R44" s="165" t="s">
        <v>218</v>
      </c>
      <c r="S44" s="53" t="str">
        <f t="shared" si="67"/>
        <v>Probabilidad</v>
      </c>
      <c r="T44" s="36" t="s">
        <v>64</v>
      </c>
      <c r="U44" s="36" t="s">
        <v>65</v>
      </c>
      <c r="V44" s="57" t="str">
        <f t="shared" si="68"/>
        <v>30%</v>
      </c>
      <c r="W44" s="37" t="s">
        <v>209</v>
      </c>
      <c r="X44" s="37" t="s">
        <v>82</v>
      </c>
      <c r="Y44" s="177" t="s">
        <v>219</v>
      </c>
      <c r="Z44" s="65">
        <f>IFERROR(IF(AND(S43="Probabilidad",S44="Probabilidad"),(AB43-(+AB43*V44)),IF(S44="Probabilidad",($I$43-(+$I$43*V44)),IF(S44="Impacto",AB43,""))),"")</f>
        <v>0.19600000000000001</v>
      </c>
      <c r="AA44" s="64" t="str">
        <f t="shared" si="69"/>
        <v>Muy Baja</v>
      </c>
      <c r="AB44" s="65">
        <f t="shared" si="70"/>
        <v>0.19600000000000001</v>
      </c>
      <c r="AC44" s="66" t="str">
        <f t="shared" ref="AC44" si="72">IFERROR(IF(AD44="","",IF(AD44&lt;=0.2,"Leve",IF(AD44&lt;=0.4,"Menor",IF(AD44&lt;=0.6,"Moderado",IF(AD44&lt;=0.8,"Mayor","Catastrófico"))))),"")</f>
        <v>Moderado</v>
      </c>
      <c r="AD44" s="63">
        <f>IFERROR(IF(AND(S43="Impacto",S42="Impacto"),(AD43-(+AD43*V44)),IF(S44="Impacto",($M$43-(+$M$43*V44)),IF(S44="Probabilidad",AD43,""))),"")</f>
        <v>0.6</v>
      </c>
      <c r="AE44" s="67" t="str">
        <f t="shared" ref="AE44" si="73">+CONCATENATE(AA44, " - ", AC44)</f>
        <v>Muy Baja - Moderado</v>
      </c>
      <c r="AF44" s="79" t="str">
        <f>+VLOOKUP(AE44,Datos!$J$4:$K$28,2,)</f>
        <v>MODERADO</v>
      </c>
      <c r="AG44" s="371"/>
      <c r="AH44" s="2"/>
      <c r="AI44" s="374"/>
      <c r="AJ44" s="264"/>
      <c r="AK44" s="362"/>
      <c r="AM44" s="378"/>
      <c r="AN44" s="204" t="s">
        <v>220</v>
      </c>
      <c r="AO44" s="204" t="s">
        <v>74</v>
      </c>
      <c r="AP44" s="204" t="s">
        <v>75</v>
      </c>
      <c r="AQ44" s="204" t="s">
        <v>74</v>
      </c>
      <c r="AR44" s="260"/>
      <c r="AS44" s="270"/>
      <c r="AT44" s="251"/>
    </row>
    <row r="45" spans="1:46" ht="345" customHeight="1">
      <c r="A45" s="396"/>
      <c r="B45" s="351"/>
      <c r="C45" s="351"/>
      <c r="D45" s="351"/>
      <c r="E45" s="401"/>
      <c r="F45" s="405"/>
      <c r="G45" s="409"/>
      <c r="H45" s="348"/>
      <c r="I45" s="334"/>
      <c r="J45" s="323"/>
      <c r="K45" s="326"/>
      <c r="L45" s="348"/>
      <c r="M45" s="334"/>
      <c r="N45" s="329"/>
      <c r="O45" s="354"/>
      <c r="P45" s="2"/>
      <c r="Q45" s="47">
        <v>3</v>
      </c>
      <c r="R45" s="166" t="s">
        <v>221</v>
      </c>
      <c r="S45" s="51" t="str">
        <f t="shared" si="67"/>
        <v>Probabilidad</v>
      </c>
      <c r="T45" s="6" t="s">
        <v>64</v>
      </c>
      <c r="U45" s="6" t="s">
        <v>65</v>
      </c>
      <c r="V45" s="55" t="str">
        <f t="shared" si="68"/>
        <v>30%</v>
      </c>
      <c r="W45" s="10" t="s">
        <v>158</v>
      </c>
      <c r="X45" s="6" t="s">
        <v>163</v>
      </c>
      <c r="Y45" s="179" t="s">
        <v>164</v>
      </c>
      <c r="Z45" s="63">
        <f>IFERROR(IF(AND(S44="Probabilidad",S45="Probabilidad"),(AB44-(+AB44*V45)),IF(S45="Probabilidad",($I$43-(+$I$43*V45)),IF(S45="Impacto",AB44,""))),"")</f>
        <v>0.13720000000000002</v>
      </c>
      <c r="AA45" s="64" t="str">
        <f t="shared" si="69"/>
        <v>Muy Baja</v>
      </c>
      <c r="AB45" s="65">
        <f t="shared" si="70"/>
        <v>0.13720000000000002</v>
      </c>
      <c r="AC45" s="66" t="str">
        <f t="shared" si="71"/>
        <v>Moderado</v>
      </c>
      <c r="AD45" s="63">
        <f>IFERROR(IF(AND(S43="Impacto",S43="Impacto"),(AD43-(+AD43*V45)),IF(S45="Impacto",($M$43-(+$M$43*V45)),IF(S45="Probabilidad",AD43,""))),"")</f>
        <v>0.6</v>
      </c>
      <c r="AE45" s="67" t="str">
        <f t="shared" ref="AE45" si="74">+CONCATENATE(AA45, " - ", AC45)</f>
        <v>Muy Baja - Moderado</v>
      </c>
      <c r="AF45" s="79" t="str">
        <f>+VLOOKUP(AE45,Datos!$J$4:$K$28,2,)</f>
        <v>MODERADO</v>
      </c>
      <c r="AG45" s="372"/>
      <c r="AH45" s="2"/>
      <c r="AI45" s="374"/>
      <c r="AJ45" s="264"/>
      <c r="AK45" s="362"/>
      <c r="AM45" s="378"/>
      <c r="AN45" s="223" t="s">
        <v>165</v>
      </c>
      <c r="AO45" s="223" t="s">
        <v>74</v>
      </c>
      <c r="AP45" s="249" t="s">
        <v>75</v>
      </c>
      <c r="AQ45" s="225" t="s">
        <v>166</v>
      </c>
      <c r="AR45" s="260"/>
      <c r="AS45" s="270"/>
      <c r="AT45" s="251"/>
    </row>
    <row r="46" spans="1:46" ht="345" customHeight="1">
      <c r="A46" s="397"/>
      <c r="B46" s="352"/>
      <c r="C46" s="352"/>
      <c r="D46" s="352"/>
      <c r="E46" s="402"/>
      <c r="F46" s="406"/>
      <c r="G46" s="410"/>
      <c r="H46" s="349"/>
      <c r="I46" s="335"/>
      <c r="J46" s="324"/>
      <c r="K46" s="327"/>
      <c r="L46" s="349"/>
      <c r="M46" s="335"/>
      <c r="N46" s="330"/>
      <c r="O46" s="355"/>
      <c r="P46" s="2"/>
      <c r="Q46" s="47">
        <v>4</v>
      </c>
      <c r="R46" s="202" t="s">
        <v>222</v>
      </c>
      <c r="S46" s="52" t="str">
        <f t="shared" si="67"/>
        <v>Impacto</v>
      </c>
      <c r="T46" s="22" t="s">
        <v>86</v>
      </c>
      <c r="U46" s="22" t="s">
        <v>65</v>
      </c>
      <c r="V46" s="56" t="str">
        <f t="shared" si="68"/>
        <v>25%</v>
      </c>
      <c r="W46" s="193" t="s">
        <v>223</v>
      </c>
      <c r="X46" s="23" t="s">
        <v>224</v>
      </c>
      <c r="Y46" s="172" t="s">
        <v>225</v>
      </c>
      <c r="Z46" s="68">
        <f>IFERROR(IF(AND(S45="Probabilidad",S46="Probabilidad"),(AB45-(+AB45*V46)),IF(S46="Probabilidad",($I$43-(+$I$43*V46)),IF(S46="Impacto",AB45,""))),"")</f>
        <v>0.13720000000000002</v>
      </c>
      <c r="AA46" s="69" t="str">
        <f t="shared" ref="AA46" si="75">IFERROR(IF(Z46="","",IF(Z46&lt;=0.2,"Muy Baja",IF(Z46&lt;=0.4,"Baja",IF(Z46&lt;=0.6,"Media",IF(Z46&lt;=0.8,"Alta","Muy Alta"))))),"")</f>
        <v>Muy Baja</v>
      </c>
      <c r="AB46" s="70">
        <f t="shared" ref="AB46" si="76">+Z46</f>
        <v>0.13720000000000002</v>
      </c>
      <c r="AC46" s="71" t="str">
        <f t="shared" ref="AC46" si="77">IFERROR(IF(AD46="","",IF(AD46&lt;=0.2,"Leve",IF(AD46&lt;=0.4,"Menor",IF(AD46&lt;=0.6,"Moderado",IF(AD46&lt;=0.8,"Mayor","Catastrófico"))))),"")</f>
        <v>Moderado</v>
      </c>
      <c r="AD46" s="68">
        <f>IFERROR(IF(AND(S45="Impacto",S45="Impacto"),(AD45-(+AD45*V46)),IF(S46="Impacto",($M$43-(+$M$43*V46)),IF(S46="Probabilidad",AD45,""))),"")</f>
        <v>0.44999999999999996</v>
      </c>
      <c r="AE46" s="72" t="str">
        <f t="shared" ref="AE46" si="78">+CONCATENATE(AA46, " - ", AC46)</f>
        <v>Muy Baja - Moderado</v>
      </c>
      <c r="AF46" s="80" t="str">
        <f>+VLOOKUP(AE46,Datos!$J$4:$K$28,2,)</f>
        <v>MODERADO</v>
      </c>
      <c r="AG46" s="373"/>
      <c r="AH46" s="2"/>
      <c r="AI46" s="375"/>
      <c r="AJ46" s="265"/>
      <c r="AK46" s="363"/>
      <c r="AL46" s="82"/>
      <c r="AM46" s="379"/>
      <c r="AN46" s="226" t="s">
        <v>226</v>
      </c>
      <c r="AO46" s="223" t="s">
        <v>74</v>
      </c>
      <c r="AP46" s="249" t="s">
        <v>75</v>
      </c>
      <c r="AQ46" s="250" t="s">
        <v>74</v>
      </c>
      <c r="AR46" s="376"/>
      <c r="AS46" s="271"/>
      <c r="AT46" s="251"/>
    </row>
    <row r="104" spans="18:18">
      <c r="R104" s="33"/>
    </row>
  </sheetData>
  <autoFilter ref="A16:BD46" xr:uid="{00000000-0009-0000-0000-000000000000}"/>
  <mergeCells count="160">
    <mergeCell ref="A1:B8"/>
    <mergeCell ref="C1:AP4"/>
    <mergeCell ref="A20:A24"/>
    <mergeCell ref="B20:B24"/>
    <mergeCell ref="C20:C24"/>
    <mergeCell ref="D20:D24"/>
    <mergeCell ref="B17:B19"/>
    <mergeCell ref="E20:E24"/>
    <mergeCell ref="F20:F24"/>
    <mergeCell ref="G20:G24"/>
    <mergeCell ref="H20:H24"/>
    <mergeCell ref="A17:A19"/>
    <mergeCell ref="E17:E19"/>
    <mergeCell ref="A10:C10"/>
    <mergeCell ref="D10:M10"/>
    <mergeCell ref="A11:C11"/>
    <mergeCell ref="D11:M11"/>
    <mergeCell ref="A12:C12"/>
    <mergeCell ref="D12:M12"/>
    <mergeCell ref="H17:H19"/>
    <mergeCell ref="I17:I19"/>
    <mergeCell ref="F17:F19"/>
    <mergeCell ref="G17:G19"/>
    <mergeCell ref="A25:A27"/>
    <mergeCell ref="B25:B27"/>
    <mergeCell ref="C25:C27"/>
    <mergeCell ref="D25:D27"/>
    <mergeCell ref="E25:E27"/>
    <mergeCell ref="AG25:AG27"/>
    <mergeCell ref="F25:F27"/>
    <mergeCell ref="G25:G27"/>
    <mergeCell ref="H25:H27"/>
    <mergeCell ref="I25:I27"/>
    <mergeCell ref="J25:J27"/>
    <mergeCell ref="K25:K27"/>
    <mergeCell ref="L25:L27"/>
    <mergeCell ref="M25:M27"/>
    <mergeCell ref="N25:N27"/>
    <mergeCell ref="A28:A37"/>
    <mergeCell ref="B28:B37"/>
    <mergeCell ref="C28:C37"/>
    <mergeCell ref="D28:D37"/>
    <mergeCell ref="E28:E37"/>
    <mergeCell ref="F28:F37"/>
    <mergeCell ref="G28:G37"/>
    <mergeCell ref="H28:H37"/>
    <mergeCell ref="I28:I37"/>
    <mergeCell ref="A38:A42"/>
    <mergeCell ref="B38:B42"/>
    <mergeCell ref="C38:C42"/>
    <mergeCell ref="D38:D42"/>
    <mergeCell ref="E38:E42"/>
    <mergeCell ref="F38:F42"/>
    <mergeCell ref="G38:G42"/>
    <mergeCell ref="H38:H42"/>
    <mergeCell ref="I38:I42"/>
    <mergeCell ref="J43:J46"/>
    <mergeCell ref="K43:K46"/>
    <mergeCell ref="J38:J42"/>
    <mergeCell ref="K38:K42"/>
    <mergeCell ref="L38:L42"/>
    <mergeCell ref="M38:M42"/>
    <mergeCell ref="N38:N42"/>
    <mergeCell ref="AM28:AM37"/>
    <mergeCell ref="M28:M37"/>
    <mergeCell ref="N28:N37"/>
    <mergeCell ref="O28:O37"/>
    <mergeCell ref="AM38:AM42"/>
    <mergeCell ref="AG28:AG37"/>
    <mergeCell ref="AK32:AK33"/>
    <mergeCell ref="AI41:AI42"/>
    <mergeCell ref="AJ41:AJ42"/>
    <mergeCell ref="AK41:AK42"/>
    <mergeCell ref="L43:L46"/>
    <mergeCell ref="M43:M46"/>
    <mergeCell ref="N43:N46"/>
    <mergeCell ref="J28:J37"/>
    <mergeCell ref="K28:K37"/>
    <mergeCell ref="L28:L37"/>
    <mergeCell ref="O43:O46"/>
    <mergeCell ref="A43:A46"/>
    <mergeCell ref="B43:B46"/>
    <mergeCell ref="C43:C46"/>
    <mergeCell ref="D43:D46"/>
    <mergeCell ref="E43:E46"/>
    <mergeCell ref="F43:F46"/>
    <mergeCell ref="G43:G46"/>
    <mergeCell ref="H43:H46"/>
    <mergeCell ref="I43:I46"/>
    <mergeCell ref="AR43:AR46"/>
    <mergeCell ref="AK43:AK46"/>
    <mergeCell ref="AM43:AM46"/>
    <mergeCell ref="O25:O27"/>
    <mergeCell ref="O38:O42"/>
    <mergeCell ref="AG38:AG42"/>
    <mergeCell ref="AI28:AI37"/>
    <mergeCell ref="AR38:AR42"/>
    <mergeCell ref="AI38:AI40"/>
    <mergeCell ref="AJ38:AJ40"/>
    <mergeCell ref="AK38:AK40"/>
    <mergeCell ref="AM25:AM27"/>
    <mergeCell ref="AK17:AK19"/>
    <mergeCell ref="AI25:AI27"/>
    <mergeCell ref="AJ25:AJ27"/>
    <mergeCell ref="AK25:AK27"/>
    <mergeCell ref="AK20:AK24"/>
    <mergeCell ref="N20:N24"/>
    <mergeCell ref="O20:O24"/>
    <mergeCell ref="AG20:AG24"/>
    <mergeCell ref="AG43:AG46"/>
    <mergeCell ref="AI43:AI46"/>
    <mergeCell ref="AJ43:AJ46"/>
    <mergeCell ref="A14:O15"/>
    <mergeCell ref="Q14:AG14"/>
    <mergeCell ref="AT17:AT19"/>
    <mergeCell ref="AT25:AT27"/>
    <mergeCell ref="Z15:AG15"/>
    <mergeCell ref="T15:Y15"/>
    <mergeCell ref="AI20:AI24"/>
    <mergeCell ref="AJ20:AJ24"/>
    <mergeCell ref="J20:J24"/>
    <mergeCell ref="J17:J19"/>
    <mergeCell ref="K17:K19"/>
    <mergeCell ref="N17:N19"/>
    <mergeCell ref="AG17:AG19"/>
    <mergeCell ref="M17:M19"/>
    <mergeCell ref="AI17:AI19"/>
    <mergeCell ref="AJ17:AJ19"/>
    <mergeCell ref="K20:K24"/>
    <mergeCell ref="L20:L24"/>
    <mergeCell ref="L17:L19"/>
    <mergeCell ref="C17:C19"/>
    <mergeCell ref="D17:D19"/>
    <mergeCell ref="O17:O19"/>
    <mergeCell ref="I20:I24"/>
    <mergeCell ref="M20:M24"/>
    <mergeCell ref="AT43:AT46"/>
    <mergeCell ref="AT28:AT37"/>
    <mergeCell ref="AS17:AS19"/>
    <mergeCell ref="AQ1:AR2"/>
    <mergeCell ref="AR28:AR37"/>
    <mergeCell ref="AJ32:AJ33"/>
    <mergeCell ref="AJ34:AJ37"/>
    <mergeCell ref="AK34:AK37"/>
    <mergeCell ref="AS43:AS46"/>
    <mergeCell ref="AS25:AS27"/>
    <mergeCell ref="AS28:AS37"/>
    <mergeCell ref="AS1:AT2"/>
    <mergeCell ref="AQ3:AR4"/>
    <mergeCell ref="AS3:AT4"/>
    <mergeCell ref="C5:AP8"/>
    <mergeCell ref="AQ5:AR6"/>
    <mergeCell ref="AS5:AT6"/>
    <mergeCell ref="AQ7:AR8"/>
    <mergeCell ref="AS7:AT8"/>
    <mergeCell ref="AR25:AR27"/>
    <mergeCell ref="AM14:AQ15"/>
    <mergeCell ref="AS14:AT15"/>
    <mergeCell ref="AM17:AM19"/>
    <mergeCell ref="AI14:AK15"/>
  </mergeCells>
  <conditionalFormatting sqref="H17:H46">
    <cfRule type="cellIs" dxfId="36" priority="87" operator="equal">
      <formula>"Baja"</formula>
    </cfRule>
    <cfRule type="cellIs" dxfId="35" priority="86" operator="equal">
      <formula>"Muy Baja"</formula>
    </cfRule>
    <cfRule type="cellIs" dxfId="34" priority="85" operator="equal">
      <formula>"Media"</formula>
    </cfRule>
    <cfRule type="cellIs" dxfId="33" priority="84" operator="equal">
      <formula>"Alta"</formula>
    </cfRule>
    <cfRule type="cellIs" dxfId="32" priority="83" operator="equal">
      <formula>"Muy Alta"</formula>
    </cfRule>
  </conditionalFormatting>
  <conditionalFormatting sqref="L17:L46">
    <cfRule type="cellIs" dxfId="31" priority="81" operator="equal">
      <formula>"Moderado"</formula>
    </cfRule>
    <cfRule type="cellIs" dxfId="30" priority="82" operator="equal">
      <formula>"Menor"</formula>
    </cfRule>
    <cfRule type="cellIs" dxfId="29" priority="78" operator="equal">
      <formula>"Leve"</formula>
    </cfRule>
    <cfRule type="cellIs" dxfId="28" priority="79" operator="equal">
      <formula>"Catastrófico"</formula>
    </cfRule>
    <cfRule type="cellIs" dxfId="27" priority="80" operator="equal">
      <formula>"Mayor"</formula>
    </cfRule>
  </conditionalFormatting>
  <conditionalFormatting sqref="O17:O46">
    <cfRule type="cellIs" dxfId="26" priority="408" operator="equal">
      <formula>"MODERADO"</formula>
    </cfRule>
    <cfRule type="cellIs" dxfId="25" priority="407" operator="equal">
      <formula>"BAJO"</formula>
    </cfRule>
    <cfRule type="cellIs" dxfId="24" priority="406" operator="equal">
      <formula>"ALTO"</formula>
    </cfRule>
    <cfRule type="cellIs" dxfId="23" priority="405" operator="equal">
      <formula>"EXTREMO"</formula>
    </cfRule>
  </conditionalFormatting>
  <conditionalFormatting sqref="AA17">
    <cfRule type="cellIs" dxfId="22" priority="573" operator="equal">
      <formula>"B+$Z$17Muy Baja"</formula>
    </cfRule>
  </conditionalFormatting>
  <conditionalFormatting sqref="AA17:AA46">
    <cfRule type="cellIs" dxfId="21" priority="59" operator="equal">
      <formula>"Alta"</formula>
    </cfRule>
    <cfRule type="cellIs" dxfId="20" priority="58" operator="equal">
      <formula>"Muy Alta"</formula>
    </cfRule>
    <cfRule type="cellIs" dxfId="19" priority="57" operator="equal">
      <formula>"Media"</formula>
    </cfRule>
    <cfRule type="cellIs" dxfId="18" priority="56" operator="equal">
      <formula>"Baja"</formula>
    </cfRule>
  </conditionalFormatting>
  <conditionalFormatting sqref="AA18:AA19">
    <cfRule type="cellIs" dxfId="17" priority="232" operator="equal">
      <formula>"Muy Baja"</formula>
    </cfRule>
  </conditionalFormatting>
  <conditionalFormatting sqref="AA20:AA24">
    <cfRule type="cellIs" dxfId="16" priority="139" operator="equal">
      <formula>"B+$Z$17Muy Baja"</formula>
    </cfRule>
  </conditionalFormatting>
  <conditionalFormatting sqref="AA25:AA27">
    <cfRule type="cellIs" dxfId="15" priority="400" operator="equal">
      <formula>"Muy Baja"</formula>
    </cfRule>
  </conditionalFormatting>
  <conditionalFormatting sqref="AA28">
    <cfRule type="cellIs" dxfId="14" priority="344" operator="equal">
      <formula>"B+$Z$17Muy Baja"</formula>
    </cfRule>
  </conditionalFormatting>
  <conditionalFormatting sqref="AA29:AA37">
    <cfRule type="cellIs" dxfId="13" priority="125" operator="equal">
      <formula>"Muy Baja"</formula>
    </cfRule>
  </conditionalFormatting>
  <conditionalFormatting sqref="AA38">
    <cfRule type="cellIs" dxfId="12" priority="107" operator="equal">
      <formula>"B+$Z$17Muy Baja"</formula>
    </cfRule>
  </conditionalFormatting>
  <conditionalFormatting sqref="AA39:AA42">
    <cfRule type="cellIs" dxfId="11" priority="97" operator="equal">
      <formula>"Muy Baja"</formula>
    </cfRule>
  </conditionalFormatting>
  <conditionalFormatting sqref="AA43">
    <cfRule type="cellIs" dxfId="10" priority="65" operator="equal">
      <formula>"B+$Z$17Muy Baja"</formula>
    </cfRule>
  </conditionalFormatting>
  <conditionalFormatting sqref="AA44:AA46">
    <cfRule type="cellIs" dxfId="9" priority="55" operator="equal">
      <formula>"Muy Baja"</formula>
    </cfRule>
  </conditionalFormatting>
  <conditionalFormatting sqref="AC17:AC46">
    <cfRule type="cellIs" dxfId="8" priority="47" operator="equal">
      <formula>"Mayor"</formula>
    </cfRule>
    <cfRule type="cellIs" dxfId="7" priority="48" operator="equal">
      <formula>"Moderado"</formula>
    </cfRule>
    <cfRule type="cellIs" dxfId="6" priority="49" operator="equal">
      <formula>"Menor"</formula>
    </cfRule>
    <cfRule type="cellIs" dxfId="5" priority="50" operator="equal">
      <formula>"Leve"</formula>
    </cfRule>
    <cfRule type="cellIs" dxfId="4" priority="46" operator="equal">
      <formula>"Catastrófico"</formula>
    </cfRule>
  </conditionalFormatting>
  <conditionalFormatting sqref="AF17:AF46">
    <cfRule type="cellIs" dxfId="3" priority="54" operator="equal">
      <formula>"MODERADO"</formula>
    </cfRule>
    <cfRule type="cellIs" dxfId="2" priority="53" operator="equal">
      <formula>"BAJO"</formula>
    </cfRule>
    <cfRule type="cellIs" dxfId="1" priority="52" operator="equal">
      <formula>"ALTO"</formula>
    </cfRule>
    <cfRule type="cellIs" dxfId="0" priority="51" operator="equal">
      <formula>"EXTREMO"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M17" evalError="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Datos!$A$4:$A$6</xm:f>
          </x14:formula1>
          <xm:sqref>B17:B46</xm:sqref>
        </x14:dataValidation>
        <x14:dataValidation type="list" allowBlank="1" showInputMessage="1" showErrorMessage="1" xr:uid="{00000000-0002-0000-0000-000001000000}">
          <x14:formula1>
            <xm:f>Datos!$O$3:$O$15</xm:f>
          </x14:formula1>
          <xm:sqref>J17:J46</xm:sqref>
        </x14:dataValidation>
        <x14:dataValidation type="list" allowBlank="1" showInputMessage="1" showErrorMessage="1" xr:uid="{00000000-0002-0000-0000-000002000000}">
          <x14:formula1>
            <xm:f>Datos!$P$19:$P$22</xm:f>
          </x14:formula1>
          <xm:sqref>T17:T46</xm:sqref>
        </x14:dataValidation>
        <x14:dataValidation type="list" allowBlank="1" showInputMessage="1" showErrorMessage="1" xr:uid="{00000000-0002-0000-0000-000003000000}">
          <x14:formula1>
            <xm:f>Datos!$P$25:$P$26</xm:f>
          </x14:formula1>
          <xm:sqref>U17:U46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Q28"/>
  <sheetViews>
    <sheetView topLeftCell="H14" zoomScale="120" zoomScaleNormal="120" workbookViewId="0">
      <selection activeCell="K28" sqref="K28"/>
    </sheetView>
  </sheetViews>
  <sheetFormatPr defaultColWidth="11.42578125" defaultRowHeight="15"/>
  <cols>
    <col min="7" max="7" width="14.85546875" customWidth="1"/>
    <col min="10" max="10" width="33" customWidth="1"/>
    <col min="15" max="15" width="81.42578125" customWidth="1"/>
  </cols>
  <sheetData>
    <row r="3" spans="1:17">
      <c r="A3" s="26" t="s">
        <v>227</v>
      </c>
      <c r="D3" t="s">
        <v>228</v>
      </c>
      <c r="G3" t="s">
        <v>229</v>
      </c>
      <c r="J3" t="s">
        <v>230</v>
      </c>
      <c r="O3" t="s">
        <v>231</v>
      </c>
    </row>
    <row r="4" spans="1:17">
      <c r="A4" t="s">
        <v>232</v>
      </c>
      <c r="D4" t="s">
        <v>233</v>
      </c>
      <c r="E4" s="25">
        <v>0.2</v>
      </c>
      <c r="G4" t="s">
        <v>234</v>
      </c>
      <c r="H4" s="25">
        <v>0.2</v>
      </c>
      <c r="J4" t="s">
        <v>235</v>
      </c>
      <c r="K4" t="s">
        <v>236</v>
      </c>
      <c r="O4" t="s">
        <v>237</v>
      </c>
      <c r="P4" s="3" t="s">
        <v>238</v>
      </c>
      <c r="Q4" s="28">
        <v>0.2</v>
      </c>
    </row>
    <row r="5" spans="1:17">
      <c r="A5" t="s">
        <v>58</v>
      </c>
      <c r="D5" t="s">
        <v>239</v>
      </c>
      <c r="E5" s="25">
        <v>0.4</v>
      </c>
      <c r="G5" t="s">
        <v>240</v>
      </c>
      <c r="H5" s="25">
        <v>0.4</v>
      </c>
      <c r="J5" t="s">
        <v>241</v>
      </c>
      <c r="K5" t="s">
        <v>236</v>
      </c>
      <c r="O5" s="27" t="s">
        <v>242</v>
      </c>
      <c r="P5" s="3" t="s">
        <v>243</v>
      </c>
      <c r="Q5" s="28">
        <v>0.4</v>
      </c>
    </row>
    <row r="6" spans="1:17">
      <c r="A6" t="s">
        <v>244</v>
      </c>
      <c r="D6" t="s">
        <v>245</v>
      </c>
      <c r="E6" s="25">
        <v>0.6</v>
      </c>
      <c r="G6" t="s">
        <v>246</v>
      </c>
      <c r="H6" s="25">
        <v>0.6</v>
      </c>
      <c r="J6" t="s">
        <v>247</v>
      </c>
      <c r="K6" t="s">
        <v>246</v>
      </c>
      <c r="O6" t="s">
        <v>248</v>
      </c>
      <c r="P6" s="3" t="s">
        <v>249</v>
      </c>
      <c r="Q6" s="28">
        <v>0.6</v>
      </c>
    </row>
    <row r="7" spans="1:17">
      <c r="D7" t="s">
        <v>250</v>
      </c>
      <c r="E7" s="25">
        <v>0.8</v>
      </c>
      <c r="G7" t="s">
        <v>251</v>
      </c>
      <c r="H7" s="25">
        <v>0.8</v>
      </c>
      <c r="J7" t="s">
        <v>252</v>
      </c>
      <c r="K7" t="s">
        <v>253</v>
      </c>
      <c r="O7" t="s">
        <v>254</v>
      </c>
      <c r="P7" s="3" t="s">
        <v>255</v>
      </c>
      <c r="Q7" s="28">
        <v>0.8</v>
      </c>
    </row>
    <row r="8" spans="1:17">
      <c r="D8" t="s">
        <v>256</v>
      </c>
      <c r="E8" s="25">
        <v>1</v>
      </c>
      <c r="G8" t="s">
        <v>257</v>
      </c>
      <c r="H8" s="25">
        <v>1</v>
      </c>
      <c r="J8" t="s">
        <v>258</v>
      </c>
      <c r="K8" t="s">
        <v>259</v>
      </c>
      <c r="O8" t="s">
        <v>260</v>
      </c>
      <c r="P8" s="3" t="s">
        <v>261</v>
      </c>
      <c r="Q8" s="28">
        <v>1</v>
      </c>
    </row>
    <row r="9" spans="1:17">
      <c r="J9" t="s">
        <v>262</v>
      </c>
      <c r="K9" t="s">
        <v>236</v>
      </c>
    </row>
    <row r="10" spans="1:17">
      <c r="J10" t="s">
        <v>263</v>
      </c>
      <c r="K10" t="s">
        <v>246</v>
      </c>
      <c r="O10" t="s">
        <v>264</v>
      </c>
    </row>
    <row r="11" spans="1:17">
      <c r="J11" t="s">
        <v>265</v>
      </c>
      <c r="K11" t="s">
        <v>246</v>
      </c>
      <c r="O11" t="s">
        <v>266</v>
      </c>
      <c r="P11" s="3" t="s">
        <v>238</v>
      </c>
      <c r="Q11" s="28">
        <v>0.2</v>
      </c>
    </row>
    <row r="12" spans="1:17" ht="30.75" customHeight="1">
      <c r="J12" t="s">
        <v>267</v>
      </c>
      <c r="K12" t="s">
        <v>253</v>
      </c>
      <c r="O12" s="27" t="s">
        <v>268</v>
      </c>
      <c r="P12" s="3" t="s">
        <v>243</v>
      </c>
      <c r="Q12" s="28">
        <v>0.4</v>
      </c>
    </row>
    <row r="13" spans="1:17" ht="30">
      <c r="J13" t="s">
        <v>269</v>
      </c>
      <c r="K13" t="s">
        <v>259</v>
      </c>
      <c r="O13" s="27" t="s">
        <v>62</v>
      </c>
      <c r="P13" s="3" t="s">
        <v>249</v>
      </c>
      <c r="Q13" s="28">
        <v>0.6</v>
      </c>
    </row>
    <row r="14" spans="1:17" ht="30">
      <c r="J14" t="s">
        <v>270</v>
      </c>
      <c r="K14" t="s">
        <v>246</v>
      </c>
      <c r="O14" s="27" t="s">
        <v>95</v>
      </c>
      <c r="P14" s="3" t="s">
        <v>255</v>
      </c>
      <c r="Q14" s="28">
        <v>0.8</v>
      </c>
    </row>
    <row r="15" spans="1:17" ht="30">
      <c r="J15" t="s">
        <v>271</v>
      </c>
      <c r="K15" t="s">
        <v>246</v>
      </c>
      <c r="O15" s="27" t="s">
        <v>272</v>
      </c>
      <c r="P15" s="3" t="s">
        <v>261</v>
      </c>
      <c r="Q15" s="28">
        <v>1</v>
      </c>
    </row>
    <row r="16" spans="1:17">
      <c r="J16" t="s">
        <v>273</v>
      </c>
      <c r="K16" t="s">
        <v>246</v>
      </c>
    </row>
    <row r="17" spans="10:16">
      <c r="J17" t="s">
        <v>274</v>
      </c>
      <c r="K17" t="s">
        <v>253</v>
      </c>
    </row>
    <row r="18" spans="10:16">
      <c r="J18" t="s">
        <v>275</v>
      </c>
      <c r="K18" t="s">
        <v>259</v>
      </c>
    </row>
    <row r="19" spans="10:16">
      <c r="J19" t="s">
        <v>276</v>
      </c>
      <c r="K19" t="s">
        <v>246</v>
      </c>
      <c r="P19" t="s">
        <v>277</v>
      </c>
    </row>
    <row r="20" spans="10:16">
      <c r="J20" t="s">
        <v>278</v>
      </c>
      <c r="K20" t="s">
        <v>246</v>
      </c>
      <c r="P20" t="s">
        <v>80</v>
      </c>
    </row>
    <row r="21" spans="10:16">
      <c r="J21" t="s">
        <v>279</v>
      </c>
      <c r="K21" t="s">
        <v>253</v>
      </c>
      <c r="P21" t="s">
        <v>64</v>
      </c>
    </row>
    <row r="22" spans="10:16">
      <c r="J22" t="s">
        <v>280</v>
      </c>
      <c r="K22" t="s">
        <v>253</v>
      </c>
      <c r="P22" t="s">
        <v>86</v>
      </c>
    </row>
    <row r="23" spans="10:16">
      <c r="J23" t="s">
        <v>281</v>
      </c>
      <c r="K23" t="s">
        <v>259</v>
      </c>
    </row>
    <row r="24" spans="10:16">
      <c r="J24" t="s">
        <v>282</v>
      </c>
      <c r="K24" t="s">
        <v>253</v>
      </c>
      <c r="P24" t="s">
        <v>283</v>
      </c>
    </row>
    <row r="25" spans="10:16">
      <c r="J25" t="s">
        <v>284</v>
      </c>
      <c r="K25" t="s">
        <v>253</v>
      </c>
      <c r="P25" t="s">
        <v>285</v>
      </c>
    </row>
    <row r="26" spans="10:16">
      <c r="J26" t="s">
        <v>286</v>
      </c>
      <c r="K26" t="s">
        <v>253</v>
      </c>
      <c r="P26" t="s">
        <v>65</v>
      </c>
    </row>
    <row r="27" spans="10:16">
      <c r="J27" t="s">
        <v>287</v>
      </c>
      <c r="K27" t="s">
        <v>253</v>
      </c>
    </row>
    <row r="28" spans="10:16">
      <c r="J28" t="s">
        <v>288</v>
      </c>
      <c r="K28" t="s">
        <v>259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B2" sqref="B2"/>
    </sheetView>
  </sheetViews>
  <sheetFormatPr defaultColWidth="11.42578125"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Props1.xml><?xml version="1.0" encoding="utf-8"?>
<ds:datastoreItem xmlns:ds="http://schemas.openxmlformats.org/officeDocument/2006/customXml" ds:itemID="{B83F0F79-7DA8-4724-BA2D-44BDE06DCE3C}"/>
</file>

<file path=customXml/itemProps2.xml><?xml version="1.0" encoding="utf-8"?>
<ds:datastoreItem xmlns:ds="http://schemas.openxmlformats.org/officeDocument/2006/customXml" ds:itemID="{97DFFBE4-0D96-4A78-874F-6096142175D3}"/>
</file>

<file path=customXml/itemProps3.xml><?xml version="1.0" encoding="utf-8"?>
<ds:datastoreItem xmlns:ds="http://schemas.openxmlformats.org/officeDocument/2006/customXml" ds:itemID="{19918A53-7278-4A5C-8595-4EDEBD66ECC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Carlos Andres Guerra Jimenez</cp:lastModifiedBy>
  <cp:revision/>
  <dcterms:created xsi:type="dcterms:W3CDTF">2021-05-10T15:52:34Z</dcterms:created>
  <dcterms:modified xsi:type="dcterms:W3CDTF">2025-07-07T20:29:55Z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